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codeName="ThisWorkbook" defaultThemeVersion="166925"/>
  <mc:AlternateContent xmlns:mc="http://schemas.openxmlformats.org/markup-compatibility/2006">
    <mc:Choice Requires="x15">
      <x15ac:absPath xmlns:x15ac="http://schemas.microsoft.com/office/spreadsheetml/2010/11/ac" url="\\MDSERVER\Engineering\Calculators\"/>
    </mc:Choice>
  </mc:AlternateContent>
  <xr:revisionPtr revIDLastSave="0" documentId="13_ncr:1_{43656193-E894-4C20-8D81-6D523DE2BF88}" xr6:coauthVersionLast="28" xr6:coauthVersionMax="28" xr10:uidLastSave="{00000000-0000-0000-0000-000000000000}"/>
  <workbookProtection workbookAlgorithmName="SHA-512" workbookHashValue="rr31nSMCc5KCpp997OQ+/sTVFw/jabSBRvNhDu+axY2QPlbGe3bJX1ZhIfIrgzlH0R7SxedjFXXsEyQuKJxRxg==" workbookSaltValue="EuraHcnubht7kLsKrfhcHQ==" workbookSpinCount="100000" lockStructure="1"/>
  <bookViews>
    <workbookView xWindow="0" yWindow="0" windowWidth="28800" windowHeight="12795" xr2:uid="{87E044B9-F27F-4455-8F8C-FC20C028A3A2}"/>
  </bookViews>
  <sheets>
    <sheet name="How to use this spreadsheet" sheetId="7" r:id="rId1"/>
    <sheet name="Gas Cost" sheetId="1" r:id="rId2"/>
    <sheet name="Gas Waste" sheetId="4" r:id="rId3"/>
    <sheet name="Beer Cost" sheetId="5" r:id="rId4"/>
    <sheet name="Calculations" sheetId="2" state="hidden" r:id="rId5"/>
  </sheets>
  <definedNames>
    <definedName name="Amount_of_Gas_used">'Gas Waste'!$E$9</definedName>
    <definedName name="ATM_Pressure">Calculations!$D$4</definedName>
    <definedName name="Beer_costs_per_keg">'Beer Cost'!$D$9</definedName>
    <definedName name="Blend">'Gas Cost'!$H$19</definedName>
    <definedName name="Boyle_Pressure_Co">Calculations!$I$15</definedName>
    <definedName name="Cal_Gas_Loss_Factor">Calculations!$C$29</definedName>
    <definedName name="Calc._Gas_Loss_HERE">Calculations!$I$29</definedName>
    <definedName name="Calc_Gas_Loss">'Gas Waste'!$D$13</definedName>
    <definedName name="CO2_A">'Gas Cost'!$E$13</definedName>
    <definedName name="CO2_C">'Gas Cost'!$C$13</definedName>
    <definedName name="CO2_Units">'Gas Cost'!$F$13</definedName>
    <definedName name="Despense_Pressure">'Gas Cost'!$J$11</definedName>
    <definedName name="ft3_per_keg">Calculations!$I$14</definedName>
    <definedName name="Gas_Loss_Co">Calculations!$I$16</definedName>
    <definedName name="Gas_Loss_Factor">'Gas Cost'!$J$17</definedName>
    <definedName name="Glass_oz">'Beer Cost'!$I$9</definedName>
    <definedName name="Keg_cost_per_oz">Calculations!$C$41</definedName>
    <definedName name="Keg_size">'Gas Cost'!$J$13</definedName>
    <definedName name="Kegs_month">'Gas Cost'!$J$15</definedName>
    <definedName name="Leaks_fixed">'Gas Waste'!$E$15</definedName>
    <definedName name="N2_A">'Gas Cost'!$E$15</definedName>
    <definedName name="N2_C">'Gas Cost'!$C$15</definedName>
    <definedName name="N2_Units">'Gas Cost'!$F$15</definedName>
    <definedName name="New_Gas_Loss_Factor">Calculations!$C$30</definedName>
    <definedName name="Oz_loss">'Beer Cost'!$H$11</definedName>
    <definedName name="PM_A">'Gas Cost'!$E$11</definedName>
    <definedName name="PM_C">'Gas Cost'!$C$11</definedName>
    <definedName name="PM_per">'Gas Cost'!$H$23</definedName>
    <definedName name="Price_per_Glass">'Beer Cost'!$K$9</definedName>
    <definedName name="Trumix_per">'Gas Cost'!$H$25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4" l="1"/>
  <c r="G17" i="5" l="1"/>
  <c r="I20" i="2" l="1"/>
  <c r="C41" i="2" l="1"/>
  <c r="I15" i="5" l="1"/>
  <c r="G15" i="5" l="1"/>
  <c r="C39" i="2"/>
  <c r="H17" i="5" s="1"/>
  <c r="I17" i="5"/>
  <c r="C38" i="2"/>
  <c r="C51" i="2" s="1"/>
  <c r="D15" i="2"/>
  <c r="C40" i="2" l="1"/>
  <c r="C15" i="2"/>
  <c r="C42" i="2" l="1"/>
  <c r="C45" i="2" s="1"/>
  <c r="E19" i="5" l="1"/>
  <c r="C43" i="2"/>
  <c r="C48" i="2"/>
  <c r="C49" i="2" s="1"/>
  <c r="C50" i="2" s="1"/>
  <c r="C52" i="2"/>
  <c r="C53" i="2" s="1"/>
  <c r="H15" i="5"/>
  <c r="I14" i="2"/>
  <c r="E21" i="5" l="1"/>
  <c r="C44" i="2"/>
  <c r="E23" i="5" s="1"/>
  <c r="I19" i="5"/>
  <c r="C46" i="2"/>
  <c r="K4" i="1"/>
  <c r="I21" i="5" l="1"/>
  <c r="C47" i="2"/>
  <c r="I23" i="5" s="1"/>
  <c r="C28" i="2"/>
  <c r="I15" i="2"/>
  <c r="H25" i="1"/>
  <c r="C26" i="2" l="1"/>
  <c r="C25" i="2"/>
  <c r="C27" i="2" l="1"/>
  <c r="I16" i="2"/>
  <c r="D16" i="2" s="1"/>
  <c r="D18" i="2" l="1"/>
  <c r="D17" i="2"/>
  <c r="C29" i="2"/>
  <c r="C16" i="2"/>
  <c r="G23" i="1" s="1"/>
  <c r="D19" i="2"/>
  <c r="F31" i="1" s="1"/>
  <c r="G25" i="1"/>
  <c r="C18" i="2" l="1"/>
  <c r="C17" i="2"/>
  <c r="C30" i="2"/>
  <c r="C31" i="2" s="1"/>
  <c r="K9" i="4"/>
  <c r="C19" i="2"/>
  <c r="F29" i="1" s="1"/>
  <c r="H29" i="1" s="1"/>
  <c r="K15" i="4" l="1"/>
  <c r="H31" i="1"/>
  <c r="H33" i="1" s="1"/>
  <c r="C33" i="2" l="1"/>
  <c r="E17" i="4"/>
  <c r="I17" i="4" s="1"/>
  <c r="C32" i="2"/>
  <c r="E21" i="4" s="1"/>
  <c r="I21" i="4" s="1"/>
  <c r="F33" i="1"/>
  <c r="E19" i="4" l="1"/>
  <c r="B25" i="5" l="1"/>
  <c r="I19" i="4"/>
  <c r="H29" i="5"/>
  <c r="H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Shirley</author>
  </authors>
  <commentList>
    <comment ref="E9" authorId="0" shapeId="0" xr:uid="{2B8BE56F-71AC-4BE1-9B74-AFD0368C211C}">
      <text>
        <r>
          <rPr>
            <sz val="9"/>
            <color indexed="81"/>
            <rFont val="Tahoma"/>
            <family val="2"/>
          </rPr>
          <t>Find this number from your gas bill. Make sure to convert to cu. ft.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Emily Shirley</author>
  </authors>
  <commentList>
    <comment ref="C27" authorId="0" shapeId="0" xr:uid="{272079C9-C274-4FFC-9A91-FF8D879AC74E}">
      <text>
        <r>
          <rPr>
            <b/>
            <sz val="9"/>
            <color indexed="81"/>
            <rFont val="Tahoma"/>
            <family val="2"/>
          </rPr>
          <t>Emily Shirley:</t>
        </r>
        <r>
          <rPr>
            <sz val="9"/>
            <color indexed="81"/>
            <rFont val="Tahoma"/>
            <family val="2"/>
          </rPr>
          <t xml:space="preserve">
Added a correction value of 1.05 to indicate loss due to coupling and uncoupling of kegs</t>
        </r>
      </text>
    </comment>
  </commentList>
</comments>
</file>

<file path=xl/sharedStrings.xml><?xml version="1.0" encoding="utf-8"?>
<sst xmlns="http://schemas.openxmlformats.org/spreadsheetml/2006/main" count="168" uniqueCount="108">
  <si>
    <t>Values to input are highlighted in</t>
  </si>
  <si>
    <t>yellow</t>
  </si>
  <si>
    <t>Just hit the tab button anywhere on this spreadsheet to start inputting your values</t>
  </si>
  <si>
    <t>Results are highlighted in</t>
  </si>
  <si>
    <t>blue</t>
  </si>
  <si>
    <t>per</t>
  </si>
  <si>
    <t>per keg</t>
  </si>
  <si>
    <t>cu. ft.</t>
  </si>
  <si>
    <t>per month</t>
  </si>
  <si>
    <t>kegs/month</t>
  </si>
  <si>
    <t>Summary of Gas Savings</t>
  </si>
  <si>
    <t>Total gas cost for pre-mixed gas:</t>
  </si>
  <si>
    <t>Total gas cost using Trumix mixed gas:</t>
  </si>
  <si>
    <t>per year</t>
  </si>
  <si>
    <t>Your total savings would be:</t>
  </si>
  <si>
    <t>Pre-mixed gas costs:</t>
  </si>
  <si>
    <t>ATM PSI</t>
  </si>
  <si>
    <t>lb(s)</t>
  </si>
  <si>
    <t>gal</t>
  </si>
  <si>
    <t>Weight</t>
  </si>
  <si>
    <t>Gas</t>
  </si>
  <si>
    <t>Liquid</t>
  </si>
  <si>
    <t>N2</t>
  </si>
  <si>
    <t>ft^3</t>
  </si>
  <si>
    <t>Pre-mixed:</t>
  </si>
  <si>
    <t>Nitrogen:</t>
  </si>
  <si>
    <t>Gas Cost</t>
  </si>
  <si>
    <t>Gas Costs Analysis</t>
  </si>
  <si>
    <t>CO2:</t>
  </si>
  <si>
    <t>psi</t>
  </si>
  <si>
    <t>Kegs:</t>
  </si>
  <si>
    <t>CO2</t>
  </si>
  <si>
    <t>/ft^3</t>
  </si>
  <si>
    <t>Pre-mix</t>
  </si>
  <si>
    <t>1 ft^3</t>
  </si>
  <si>
    <t>Gas Loss Co</t>
  </si>
  <si>
    <t>1 Gal</t>
  </si>
  <si>
    <t>Dispense Pressure:</t>
  </si>
  <si>
    <t xml:space="preserve">Using the EasyBlend App, input your % Blend: </t>
  </si>
  <si>
    <t>Constants</t>
  </si>
  <si>
    <t>Ideal gas amount</t>
  </si>
  <si>
    <t>Actual gas amount</t>
  </si>
  <si>
    <t>cu. ft. /month</t>
  </si>
  <si>
    <t>Gas Loss factor</t>
  </si>
  <si>
    <t>Calculations for Gas Cost</t>
  </si>
  <si>
    <t>Keg size:</t>
  </si>
  <si>
    <t>gal/keg</t>
  </si>
  <si>
    <t>cu. ft./month</t>
  </si>
  <si>
    <t>Calculations for Gas Waste</t>
  </si>
  <si>
    <t>of your leaks.</t>
  </si>
  <si>
    <t>If you addressed</t>
  </si>
  <si>
    <t>You would save</t>
  </si>
  <si>
    <t>cu. ft. / month on gas</t>
  </si>
  <si>
    <t>dollars / month</t>
  </si>
  <si>
    <t>Gas Saved</t>
  </si>
  <si>
    <t>amount saved</t>
  </si>
  <si>
    <t>cu. ft. / year on gas</t>
  </si>
  <si>
    <t>dollars / year</t>
  </si>
  <si>
    <t>New Gas Loss Factor:</t>
  </si>
  <si>
    <t>Calculated Gas Loss Factor:</t>
  </si>
  <si>
    <t>New Gas Loss Factor</t>
  </si>
  <si>
    <t>kegs / year</t>
  </si>
  <si>
    <t>kegs</t>
  </si>
  <si>
    <t>kegs / month</t>
  </si>
  <si>
    <t>Summary of Savings</t>
  </si>
  <si>
    <t>Amount of Gas used:</t>
  </si>
  <si>
    <t>Beer Cost</t>
  </si>
  <si>
    <t>Gas Waste Analysis</t>
  </si>
  <si>
    <t>Estimated Gas Loss Factor:</t>
  </si>
  <si>
    <t>Beer costs</t>
  </si>
  <si>
    <t xml:space="preserve">I sell a </t>
  </si>
  <si>
    <t>ounce(s) per glass</t>
  </si>
  <si>
    <t>Summary of Beer Cost</t>
  </si>
  <si>
    <t>Calculations for Beer Cost</t>
  </si>
  <si>
    <t>Estimated loss due to over/under carbonated beer:</t>
  </si>
  <si>
    <t>cost</t>
  </si>
  <si>
    <t>By eliminating some of those leaks, you gain profit</t>
  </si>
  <si>
    <t>gross profit with no loss</t>
  </si>
  <si>
    <t>oz.</t>
  </si>
  <si>
    <t>gal to cu ft./keg</t>
  </si>
  <si>
    <t>per 12 oz.</t>
  </si>
  <si>
    <t>per 16 oz.</t>
  </si>
  <si>
    <t>for given oz.</t>
  </si>
  <si>
    <t>per oz.</t>
  </si>
  <si>
    <t>based on oz. lost</t>
  </si>
  <si>
    <t>Glasses per keg</t>
  </si>
  <si>
    <t>Gross Profit with loss</t>
  </si>
  <si>
    <t xml:space="preserve">                                                                                                                                                                                 </t>
  </si>
  <si>
    <t>Glasses with loss</t>
  </si>
  <si>
    <t>lost glasses</t>
  </si>
  <si>
    <t>Your lost overhead is</t>
  </si>
  <si>
    <t>Your profit loss is</t>
  </si>
  <si>
    <t>profit loss</t>
  </si>
  <si>
    <t>oz. Glass for</t>
  </si>
  <si>
    <t>Boyle's Law pressure (converting to atm)</t>
  </si>
  <si>
    <r>
      <t xml:space="preserve">-Your 'gas loss factor' is estimated, entering a zero indicates there is no gas lost in your system. If you would like to calculate your estimated gas loss please click the "Gas Loss Calculation" link to the right </t>
    </r>
    <r>
      <rPr>
        <sz val="16"/>
        <color theme="1"/>
        <rFont val="Open Sans"/>
        <family val="2"/>
      </rPr>
      <t>→</t>
    </r>
  </si>
  <si>
    <t>Gas Waste: This spreadsheet helps you calculate your estimated "gas loss factor" and see how much you can save by finding and repairing leaks.</t>
  </si>
  <si>
    <t>Input</t>
  </si>
  <si>
    <t>Other</t>
  </si>
  <si>
    <t>Cost Analysis</t>
  </si>
  <si>
    <r>
      <t xml:space="preserve">Gas Cost: </t>
    </r>
    <r>
      <rPr>
        <b/>
        <u/>
        <sz val="11"/>
        <color theme="1"/>
        <rFont val="Open Sans"/>
        <family val="2"/>
      </rPr>
      <t>Start here.</t>
    </r>
    <r>
      <rPr>
        <sz val="11"/>
        <color theme="1"/>
        <rFont val="Open Sans"/>
        <family val="2"/>
      </rPr>
      <t xml:space="preserve"> This spreadsheet show you your cost of pre-mixed gas vs. Trumix gas cost</t>
    </r>
  </si>
  <si>
    <t>Trumix® mixed gas costs:</t>
  </si>
  <si>
    <t>Trumix®</t>
  </si>
  <si>
    <t>The purpose of this workbook is to help you understand how on-site gas blending with a McDantim Trumix® blender can save you money as compared to using premixed gas. 
Prices per cylinder of gas vary greatly from place to place, so check with your local supplier. Be sure to get prices, cylinder sizes, and your current gas usage.
The values highlighted in blue are calculated values based on the values you enter, highlighted in yellow. The formulas used are simple and do not take all factors into account. These spreadsheets are designed to give you a general idea of savings, not an exact amount.
It will soon become obvious that the biggest savings are seen in beer cost. Having a 3/4" high "head" on a glass of beer saves about 3 ounces of beer, and makes the beer look better to the customer. Pouring foam down the drain is an obvious waste, but the money to be saved by avoiding this is often overlooked.
Input your data and calculate your system needs. If you have questions or comments, email us at info@mcdantim.com or please call McDantim @ 406-442-5153 / 888-735-5607.</t>
  </si>
  <si>
    <t>This spreadsheet calculates your percent of gas lost due to leaks in your system. The cost savings is calculated if you had the Trumix® Gas Blender.
NOTE:  The ideal gas amount is calculated from your kegs / month number. If you are getting "#NUM!" symbols this means that your actual gas amount, from your gas bill, is not enough based on the amount of kegs per month you have given. To correct this, please re-evaluate the amount of kegs you go through each month. If you see gas loss factors greater than 100% then review your input variables on the Gas Cost tab.</t>
  </si>
  <si>
    <t xml:space="preserve">The main purpose of this spreadsheet is to calculate your cost of using pre-mixed gas vs. using a Trumix® Gas Blender. This is only an estimated value; it becomes more accurate with a more accurate "Estimated Gas Loss".
*NOTE: Standard Keg sizes: 15.5 gal, 50 L = 13.2 gal, 1/6 Barrel = 5.17 gal
</t>
  </si>
  <si>
    <t>This spreadsheet will estimate your costs associated with under/over carbonated beer. This is based solely on an estimated loss in ounce(s). This speadsheet also uses values inputed on the "Gas Cost" tab.
Remember: in a typical 16 oz shaker pint glass with 3/4" high foam, has a typical volume of 13 oz. Therefore if you were able to fill the glass fully to the 16 oz point, you would lose 3 oz with under carbonated beer.
Waste Values, based on a typical 16 oz. shaker pint:
-full glass with no foam - 3 oz. wasted
-glass with only 1/2" foam - 1 oz. wasted
-glass with 3/4" foam (perfect pour) - 0 oz. wasted</t>
  </si>
  <si>
    <t xml:space="preserve">Beer Cost: This spreadsheet shows you how much profit you are losing by having over/under carbonated beer.
Waste Values, based on a typical 16 oz. shaker pint:
-full glass with no foam - 3 oz. wasted
-glass with only 1/2" foam - 1 oz. wasted
-glass with 3/4" foam (perfect pour) - 0 oz. wasted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</si>
</sst>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00_);_(&quot;$&quot;* \(#,##0.0000\);_(&quot;$&quot;* &quot;-&quot;??_);_(@_)"/>
    <numFmt numFmtId="165" formatCode="[$-F400]h:mm:ss\ AM/PM"/>
  </numFmts>
  <fonts count="23" x14ac:knownFonts="1">
    <font>
      <sz val="11"/>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color theme="1"/>
      <name val="Open Sans"/>
      <family val="2"/>
    </font>
    <font>
      <b/>
      <sz val="20"/>
      <color theme="1"/>
      <name val="Open Sans"/>
      <family val="2"/>
    </font>
    <font>
      <sz val="16"/>
      <color theme="1"/>
      <name val="Open Sans"/>
      <family val="2"/>
    </font>
    <font>
      <u/>
      <sz val="11"/>
      <color theme="10"/>
      <name val="Open Sans"/>
      <family val="2"/>
    </font>
    <font>
      <i/>
      <sz val="11"/>
      <color theme="1"/>
      <name val="Open Sans"/>
      <family val="2"/>
    </font>
    <font>
      <b/>
      <i/>
      <sz val="11"/>
      <color theme="1"/>
      <name val="Open Sans"/>
      <family val="2"/>
    </font>
    <font>
      <i/>
      <sz val="12"/>
      <color theme="1"/>
      <name val="Open Sans"/>
      <family val="2"/>
    </font>
    <font>
      <b/>
      <i/>
      <sz val="12"/>
      <name val="Open Sans"/>
      <family val="2"/>
    </font>
    <font>
      <b/>
      <sz val="12"/>
      <color theme="1"/>
      <name val="Open Sans"/>
      <family val="2"/>
    </font>
    <font>
      <u val="singleAccounting"/>
      <sz val="11"/>
      <color theme="1"/>
      <name val="Open Sans"/>
      <family val="2"/>
    </font>
    <font>
      <u/>
      <sz val="11"/>
      <color theme="1"/>
      <name val="Open Sans"/>
      <family val="2"/>
    </font>
    <font>
      <u/>
      <sz val="11"/>
      <name val="Open Sans"/>
      <family val="2"/>
    </font>
    <font>
      <b/>
      <sz val="16"/>
      <color theme="1"/>
      <name val="Open Sans"/>
      <family val="2"/>
    </font>
    <font>
      <b/>
      <sz val="18"/>
      <color theme="1"/>
      <name val="Open Sans"/>
      <family val="2"/>
    </font>
    <font>
      <sz val="11"/>
      <name val="Open Sans"/>
      <family val="2"/>
    </font>
    <font>
      <b/>
      <sz val="11"/>
      <color theme="1"/>
      <name val="Open Sans"/>
      <family val="2"/>
    </font>
    <font>
      <b/>
      <u/>
      <sz val="11"/>
      <color theme="1"/>
      <name val="Open Sans"/>
      <family val="2"/>
    </font>
    <font>
      <sz val="18"/>
      <color theme="1"/>
      <name val="Open Sans"/>
      <family val="2"/>
    </font>
  </fonts>
  <fills count="4">
    <fill>
      <patternFill patternType="none"/>
    </fill>
    <fill>
      <patternFill patternType="gray125"/>
    </fill>
    <fill>
      <patternFill patternType="solid">
        <fgColor rgb="FFFFFFCC"/>
        <bgColor indexed="64"/>
      </patternFill>
    </fill>
    <fill>
      <patternFill patternType="solid">
        <fgColor rgb="FFDDEBF7"/>
        <bgColor indexed="64"/>
      </patternFill>
    </fill>
  </fills>
  <borders count="1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75">
    <xf numFmtId="0" fontId="0" fillId="0" borderId="0" xfId="0"/>
    <xf numFmtId="0" fontId="5" fillId="0" borderId="0" xfId="0" applyFont="1"/>
    <xf numFmtId="0" fontId="5" fillId="0" borderId="0" xfId="0" applyFont="1" applyAlignment="1">
      <alignment horizontal="center" vertical="center"/>
    </xf>
    <xf numFmtId="0" fontId="9" fillId="0" borderId="0" xfId="0" applyFont="1" applyAlignment="1">
      <alignment horizontal="right"/>
    </xf>
    <xf numFmtId="0" fontId="9" fillId="0" borderId="0" xfId="0" applyFont="1" applyAlignment="1"/>
    <xf numFmtId="0" fontId="10" fillId="2" borderId="0" xfId="0" applyFont="1" applyFill="1"/>
    <xf numFmtId="0" fontId="9" fillId="0" borderId="0" xfId="0" applyFont="1" applyFill="1" applyAlignment="1"/>
    <xf numFmtId="0" fontId="11" fillId="0" borderId="0" xfId="0" applyFont="1" applyBorder="1" applyAlignment="1"/>
    <xf numFmtId="0" fontId="9" fillId="0" borderId="0" xfId="0" applyFont="1" applyBorder="1" applyAlignment="1">
      <alignment horizontal="right"/>
    </xf>
    <xf numFmtId="0" fontId="12" fillId="3" borderId="0" xfId="0" applyFont="1" applyFill="1" applyAlignment="1"/>
    <xf numFmtId="0" fontId="9" fillId="0" borderId="0" xfId="0" applyFont="1" applyFill="1" applyAlignment="1">
      <alignment wrapText="1"/>
    </xf>
    <xf numFmtId="0" fontId="11" fillId="0" borderId="0" xfId="0" applyFont="1" applyBorder="1" applyAlignment="1">
      <alignment horizontal="right"/>
    </xf>
    <xf numFmtId="0" fontId="12" fillId="0" borderId="0" xfId="0" applyFont="1" applyFill="1" applyAlignment="1"/>
    <xf numFmtId="0" fontId="5" fillId="0" borderId="2" xfId="0" applyFont="1" applyBorder="1" applyAlignment="1">
      <alignment horizontal="right" vertical="center" wrapText="1"/>
    </xf>
    <xf numFmtId="0" fontId="5" fillId="0" borderId="0" xfId="0" applyFont="1" applyBorder="1" applyAlignment="1">
      <alignment horizontal="center" vertical="center"/>
    </xf>
    <xf numFmtId="0" fontId="5" fillId="0" borderId="0" xfId="0" applyFont="1" applyBorder="1"/>
    <xf numFmtId="0" fontId="5" fillId="0" borderId="0" xfId="0" applyFont="1" applyFill="1" applyBorder="1" applyAlignment="1">
      <alignment horizontal="right" vertical="center"/>
    </xf>
    <xf numFmtId="0" fontId="5" fillId="0" borderId="6" xfId="0" quotePrefix="1" applyFont="1" applyFill="1" applyBorder="1" applyAlignment="1">
      <alignment horizontal="left" vertical="center"/>
    </xf>
    <xf numFmtId="0" fontId="5" fillId="0" borderId="0" xfId="0" applyFont="1" applyFill="1" applyAlignment="1">
      <alignment horizontal="center" vertical="center"/>
    </xf>
    <xf numFmtId="0" fontId="5" fillId="0" borderId="2" xfId="0" applyFont="1" applyFill="1" applyBorder="1" applyAlignment="1">
      <alignment horizontal="right" vertical="center" wrapText="1"/>
    </xf>
    <xf numFmtId="44" fontId="14" fillId="0" borderId="0" xfId="1" applyFont="1" applyFill="1" applyBorder="1" applyAlignment="1">
      <alignment horizontal="center" vertical="center"/>
    </xf>
    <xf numFmtId="0" fontId="5"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xf numFmtId="44" fontId="15" fillId="0" borderId="0"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xf numFmtId="0" fontId="5" fillId="0" borderId="2" xfId="0" applyFont="1" applyBorder="1" applyAlignment="1">
      <alignment horizontal="right" vertical="center"/>
    </xf>
    <xf numFmtId="0" fontId="5" fillId="0" borderId="0" xfId="0" applyFont="1" applyFill="1" applyBorder="1" applyAlignment="1">
      <alignment horizontal="right"/>
    </xf>
    <xf numFmtId="0" fontId="5" fillId="0" borderId="6" xfId="0" applyFont="1" applyFill="1" applyBorder="1"/>
    <xf numFmtId="0" fontId="5" fillId="0" borderId="0" xfId="0" applyFont="1" applyBorder="1" applyAlignment="1">
      <alignment horizontal="right" vertical="center"/>
    </xf>
    <xf numFmtId="0" fontId="5" fillId="0" borderId="6" xfId="0" applyFont="1" applyFill="1" applyBorder="1" applyAlignment="1">
      <alignment horizontal="left" vertical="center"/>
    </xf>
    <xf numFmtId="0" fontId="5" fillId="0" borderId="2" xfId="0" applyFont="1" applyFill="1" applyBorder="1" applyAlignment="1">
      <alignment horizontal="right" vertical="center"/>
    </xf>
    <xf numFmtId="9" fontId="15" fillId="0" borderId="0" xfId="2" applyFont="1" applyFill="1" applyBorder="1" applyAlignment="1">
      <alignment horizontal="center" vertical="center"/>
    </xf>
    <xf numFmtId="0" fontId="5" fillId="0" borderId="6" xfId="0" applyFont="1" applyBorder="1"/>
    <xf numFmtId="0" fontId="5" fillId="0" borderId="2" xfId="0" applyFont="1" applyBorder="1"/>
    <xf numFmtId="0" fontId="5" fillId="0" borderId="0" xfId="0" applyFont="1" applyBorder="1" applyAlignment="1">
      <alignment horizontal="right"/>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9" fontId="5" fillId="0" borderId="1" xfId="2" applyFont="1" applyFill="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9" fontId="5" fillId="0" borderId="1" xfId="2" applyFont="1" applyBorder="1" applyAlignment="1">
      <alignment horizontal="left" vertical="center"/>
    </xf>
    <xf numFmtId="0" fontId="5" fillId="0" borderId="8" xfId="0" applyFont="1" applyBorder="1"/>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Border="1" applyAlignment="1">
      <alignment horizontal="right" vertical="top"/>
    </xf>
    <xf numFmtId="0" fontId="5" fillId="0" borderId="0" xfId="0" applyFont="1" applyBorder="1" applyAlignment="1">
      <alignment horizontal="right" vertical="top"/>
    </xf>
    <xf numFmtId="44" fontId="5" fillId="3" borderId="0" xfId="1" applyNumberFormat="1" applyFont="1" applyFill="1" applyBorder="1" applyAlignment="1">
      <alignment horizontal="center" vertical="center"/>
    </xf>
    <xf numFmtId="44" fontId="5" fillId="0" borderId="0" xfId="1" applyFont="1" applyFill="1" applyBorder="1" applyAlignment="1">
      <alignment horizontal="center" vertical="center"/>
    </xf>
    <xf numFmtId="164" fontId="5"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0" borderId="2"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5" fillId="0" borderId="2" xfId="0" applyFont="1" applyBorder="1" applyAlignment="1"/>
    <xf numFmtId="0" fontId="5" fillId="0" borderId="0" xfId="0" applyFont="1" applyBorder="1" applyAlignment="1"/>
    <xf numFmtId="44" fontId="5" fillId="3" borderId="0" xfId="0" applyNumberFormat="1" applyFont="1" applyFill="1" applyBorder="1"/>
    <xf numFmtId="0" fontId="5" fillId="0" borderId="2" xfId="0" applyFont="1" applyBorder="1" applyAlignment="1">
      <alignment horizontal="right"/>
    </xf>
    <xf numFmtId="44" fontId="5" fillId="0" borderId="0" xfId="0" applyNumberFormat="1" applyFont="1" applyFill="1" applyBorder="1"/>
    <xf numFmtId="0" fontId="5" fillId="0" borderId="0" xfId="0" applyFont="1" applyFill="1" applyBorder="1" applyAlignment="1">
      <alignment horizontal="left"/>
    </xf>
    <xf numFmtId="0" fontId="5" fillId="0" borderId="7" xfId="0" applyFont="1" applyBorder="1"/>
    <xf numFmtId="0" fontId="5" fillId="0" borderId="1" xfId="0" applyFont="1" applyBorder="1"/>
    <xf numFmtId="0" fontId="5" fillId="0" borderId="0" xfId="0" applyFont="1" applyAlignment="1">
      <alignment horizontal="center"/>
    </xf>
    <xf numFmtId="0" fontId="5" fillId="0" borderId="3" xfId="0" applyFont="1" applyBorder="1"/>
    <xf numFmtId="0" fontId="11" fillId="0" borderId="4" xfId="0" applyFont="1" applyBorder="1" applyAlignment="1">
      <alignment horizontal="right"/>
    </xf>
    <xf numFmtId="0" fontId="12" fillId="0" borderId="4" xfId="0" applyFont="1" applyFill="1" applyBorder="1" applyAlignment="1"/>
    <xf numFmtId="0" fontId="9" fillId="0" borderId="4" xfId="0" applyFont="1" applyFill="1" applyBorder="1" applyAlignment="1">
      <alignment wrapText="1"/>
    </xf>
    <xf numFmtId="0" fontId="5" fillId="0" borderId="4" xfId="0" applyFont="1" applyBorder="1"/>
    <xf numFmtId="0" fontId="5" fillId="0" borderId="5" xfId="0" applyFont="1" applyBorder="1"/>
    <xf numFmtId="9" fontId="5" fillId="3" borderId="0" xfId="2" applyFont="1" applyFill="1" applyBorder="1" applyAlignment="1">
      <alignment horizontal="center"/>
    </xf>
    <xf numFmtId="0" fontId="5" fillId="0" borderId="2" xfId="0" applyFont="1" applyFill="1" applyBorder="1"/>
    <xf numFmtId="9" fontId="5" fillId="0" borderId="0" xfId="2" applyFont="1" applyFill="1" applyBorder="1" applyAlignment="1">
      <alignment horizontal="center"/>
    </xf>
    <xf numFmtId="9" fontId="5" fillId="0" borderId="1" xfId="2" applyFont="1" applyBorder="1"/>
    <xf numFmtId="0" fontId="5" fillId="0" borderId="4" xfId="0" applyFont="1" applyFill="1" applyBorder="1"/>
    <xf numFmtId="0" fontId="8" fillId="0" borderId="0" xfId="3" applyFont="1" applyBorder="1"/>
    <xf numFmtId="2" fontId="5" fillId="3" borderId="0" xfId="1" applyNumberFormat="1" applyFont="1" applyFill="1" applyBorder="1" applyAlignment="1">
      <alignment horizontal="center"/>
    </xf>
    <xf numFmtId="2" fontId="5" fillId="3" borderId="0" xfId="0" applyNumberFormat="1" applyFont="1" applyFill="1" applyBorder="1" applyAlignment="1">
      <alignment horizontal="center"/>
    </xf>
    <xf numFmtId="0" fontId="5" fillId="0" borderId="0" xfId="0" applyFont="1" applyBorder="1" applyAlignment="1">
      <alignment wrapText="1"/>
    </xf>
    <xf numFmtId="2" fontId="5" fillId="3" borderId="0" xfId="0" applyNumberFormat="1" applyFont="1" applyFill="1" applyBorder="1" applyAlignment="1">
      <alignment horizontal="center" wrapText="1"/>
    </xf>
    <xf numFmtId="0" fontId="5" fillId="0" borderId="0" xfId="0" applyFont="1" applyBorder="1" applyAlignment="1">
      <alignment horizontal="left"/>
    </xf>
    <xf numFmtId="0" fontId="5" fillId="0" borderId="0" xfId="0" applyFont="1" applyBorder="1" applyAlignment="1">
      <alignment horizontal="center"/>
    </xf>
    <xf numFmtId="44" fontId="5" fillId="3" borderId="0" xfId="1" applyFont="1" applyFill="1" applyBorder="1" applyAlignment="1">
      <alignment horizontal="center"/>
    </xf>
    <xf numFmtId="44" fontId="19" fillId="3" borderId="0" xfId="3" applyNumberFormat="1" applyFont="1" applyFill="1" applyBorder="1" applyAlignment="1">
      <alignment horizontal="center" wrapText="1"/>
    </xf>
    <xf numFmtId="0" fontId="5" fillId="0" borderId="1" xfId="0" applyFont="1" applyBorder="1" applyAlignment="1">
      <alignment wrapText="1"/>
    </xf>
    <xf numFmtId="0" fontId="5" fillId="0" borderId="3" xfId="0" applyFont="1" applyBorder="1" applyAlignment="1"/>
    <xf numFmtId="0" fontId="5" fillId="0" borderId="4" xfId="0" applyFont="1" applyBorder="1" applyAlignment="1"/>
    <xf numFmtId="0" fontId="5" fillId="0" borderId="5" xfId="0" applyFont="1" applyBorder="1" applyAlignment="1"/>
    <xf numFmtId="2" fontId="5" fillId="0" borderId="0" xfId="0" applyNumberFormat="1" applyFont="1" applyFill="1" applyBorder="1" applyAlignment="1">
      <alignment horizontal="center"/>
    </xf>
    <xf numFmtId="0" fontId="5" fillId="0" borderId="0" xfId="0" applyFont="1" applyFill="1" applyBorder="1" applyAlignment="1">
      <alignment horizontal="center"/>
    </xf>
    <xf numFmtId="44" fontId="5" fillId="3" borderId="0" xfId="0" applyNumberFormat="1" applyFont="1" applyFill="1" applyBorder="1" applyAlignment="1">
      <alignment horizontal="center"/>
    </xf>
    <xf numFmtId="44" fontId="5" fillId="3" borderId="0" xfId="1" applyFont="1" applyFill="1" applyAlignment="1">
      <alignment horizontal="center"/>
    </xf>
    <xf numFmtId="44" fontId="5" fillId="0" borderId="0" xfId="0" applyNumberFormat="1" applyFont="1" applyFill="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2" xfId="0" applyFont="1" applyBorder="1" applyAlignment="1">
      <alignment horizontal="center"/>
    </xf>
    <xf numFmtId="0" fontId="5" fillId="0" borderId="0" xfId="0" quotePrefix="1" applyFont="1" applyBorder="1" applyAlignment="1">
      <alignment horizontal="center" vertical="center"/>
    </xf>
    <xf numFmtId="0" fontId="5" fillId="0" borderId="6" xfId="0" applyFont="1" applyBorder="1" applyAlignment="1"/>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xf>
    <xf numFmtId="0" fontId="5" fillId="0" borderId="8" xfId="0" applyFont="1" applyBorder="1" applyAlignment="1">
      <alignment horizontal="center"/>
    </xf>
    <xf numFmtId="0" fontId="20" fillId="0" borderId="0" xfId="0" applyFont="1" applyAlignment="1">
      <alignment horizontal="center"/>
    </xf>
    <xf numFmtId="0" fontId="5" fillId="0" borderId="0" xfId="0" applyFont="1" applyAlignment="1"/>
    <xf numFmtId="0" fontId="5" fillId="0" borderId="0" xfId="0" applyFont="1" applyAlignment="1">
      <alignment horizontal="right"/>
    </xf>
    <xf numFmtId="0" fontId="5" fillId="0" borderId="0" xfId="0" quotePrefix="1" applyFont="1" applyAlignment="1">
      <alignment horizontal="center"/>
    </xf>
    <xf numFmtId="0" fontId="5" fillId="0" borderId="0" xfId="0" quotePrefix="1" applyFont="1" applyAlignment="1">
      <alignment horizontal="right"/>
    </xf>
    <xf numFmtId="44" fontId="5" fillId="0" borderId="0" xfId="1" applyFont="1" applyAlignment="1">
      <alignment horizontal="center"/>
    </xf>
    <xf numFmtId="0" fontId="5" fillId="0" borderId="0" xfId="0" applyFont="1" applyAlignment="1">
      <alignment horizontal="left"/>
    </xf>
    <xf numFmtId="164" fontId="5" fillId="0" borderId="0" xfId="1" applyNumberFormat="1" applyFont="1" applyAlignment="1">
      <alignment horizontal="center"/>
    </xf>
    <xf numFmtId="0" fontId="5" fillId="0" borderId="0" xfId="0" quotePrefix="1" applyFont="1" applyAlignment="1">
      <alignment horizontal="left"/>
    </xf>
    <xf numFmtId="9" fontId="5" fillId="0" borderId="0" xfId="2" applyFont="1" applyAlignment="1">
      <alignment horizontal="center"/>
    </xf>
    <xf numFmtId="9" fontId="5" fillId="0" borderId="0" xfId="2" applyFont="1" applyAlignment="1">
      <alignment horizontal="center" wrapText="1"/>
    </xf>
    <xf numFmtId="9" fontId="5" fillId="0" borderId="0" xfId="2" applyNumberFormat="1" applyFont="1" applyAlignment="1">
      <alignment horizontal="center"/>
    </xf>
    <xf numFmtId="0" fontId="8" fillId="0" borderId="0" xfId="3" applyFont="1" applyAlignment="1">
      <alignment horizontal="center" wrapText="1"/>
    </xf>
    <xf numFmtId="0" fontId="5" fillId="0" borderId="0" xfId="0" applyNumberFormat="1" applyFont="1" applyAlignment="1">
      <alignment horizontal="center"/>
    </xf>
    <xf numFmtId="44" fontId="5" fillId="0" borderId="0" xfId="0" applyNumberFormat="1" applyFont="1" applyAlignment="1">
      <alignment horizontal="center"/>
    </xf>
    <xf numFmtId="164" fontId="5" fillId="0" borderId="0" xfId="0" applyNumberFormat="1" applyFont="1" applyAlignment="1">
      <alignment horizontal="center"/>
    </xf>
    <xf numFmtId="44" fontId="5" fillId="0" borderId="0" xfId="1" applyNumberFormat="1" applyFont="1" applyAlignment="1">
      <alignment horizontal="center"/>
    </xf>
    <xf numFmtId="0" fontId="13" fillId="0" borderId="0" xfId="0" applyFont="1" applyBorder="1" applyAlignment="1">
      <alignment horizontal="center"/>
    </xf>
    <xf numFmtId="0" fontId="13" fillId="0" borderId="2" xfId="0" applyFont="1" applyBorder="1" applyAlignment="1">
      <alignment horizontal="center"/>
    </xf>
    <xf numFmtId="0" fontId="13" fillId="0" borderId="6" xfId="0" applyFont="1" applyBorder="1" applyAlignment="1">
      <alignment horizontal="center"/>
    </xf>
    <xf numFmtId="20" fontId="5" fillId="0" borderId="0" xfId="0" applyNumberFormat="1" applyFont="1" applyAlignment="1">
      <alignment horizontal="center"/>
    </xf>
    <xf numFmtId="165" fontId="5" fillId="0" borderId="0" xfId="0" applyNumberFormat="1" applyFont="1" applyAlignment="1">
      <alignment horizontal="center"/>
    </xf>
    <xf numFmtId="0" fontId="22" fillId="0" borderId="0" xfId="0" applyFont="1"/>
    <xf numFmtId="44" fontId="14" fillId="2" borderId="0" xfId="1"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0" fontId="5" fillId="2" borderId="0" xfId="0" applyFont="1" applyFill="1" applyBorder="1" applyProtection="1">
      <protection locked="0"/>
    </xf>
    <xf numFmtId="0" fontId="16" fillId="2" borderId="0" xfId="0" applyNumberFormat="1" applyFont="1" applyFill="1" applyBorder="1" applyAlignment="1" applyProtection="1">
      <alignment horizontal="center" vertical="center"/>
      <protection locked="0"/>
    </xf>
    <xf numFmtId="0" fontId="15" fillId="2" borderId="0" xfId="0" applyFont="1" applyFill="1" applyBorder="1" applyAlignment="1" applyProtection="1">
      <alignment horizontal="center"/>
      <protection locked="0"/>
    </xf>
    <xf numFmtId="0" fontId="15" fillId="2" borderId="0" xfId="0" applyNumberFormat="1" applyFont="1" applyFill="1" applyBorder="1" applyAlignment="1" applyProtection="1">
      <alignment horizontal="center" vertical="center"/>
      <protection locked="0"/>
    </xf>
    <xf numFmtId="9" fontId="15" fillId="2" borderId="0" xfId="2" applyFont="1" applyFill="1" applyBorder="1" applyAlignment="1" applyProtection="1">
      <alignment horizontal="center" vertical="center"/>
      <protection locked="0"/>
    </xf>
    <xf numFmtId="9" fontId="15" fillId="2" borderId="0" xfId="2" applyFont="1" applyFill="1" applyBorder="1" applyAlignment="1" applyProtection="1">
      <alignment horizontal="center"/>
      <protection locked="0"/>
    </xf>
    <xf numFmtId="9" fontId="15" fillId="2" borderId="0" xfId="0" applyNumberFormat="1" applyFont="1" applyFill="1" applyBorder="1" applyAlignment="1" applyProtection="1">
      <alignment horizontal="center"/>
      <protection locked="0"/>
    </xf>
    <xf numFmtId="44" fontId="5" fillId="2" borderId="0" xfId="1" applyFont="1" applyFill="1" applyBorder="1" applyAlignment="1" applyProtection="1">
      <alignment horizontal="center"/>
      <protection locked="0"/>
    </xf>
    <xf numFmtId="0" fontId="5" fillId="2" borderId="0" xfId="0" applyFont="1" applyFill="1" applyBorder="1" applyAlignment="1" applyProtection="1">
      <alignment horizontal="center"/>
      <protection locked="0"/>
    </xf>
    <xf numFmtId="0" fontId="8" fillId="0" borderId="8" xfId="3" applyFont="1" applyBorder="1" applyAlignment="1" applyProtection="1">
      <alignment horizontal="center" vertical="center" wrapText="1"/>
      <protection locked="0"/>
    </xf>
    <xf numFmtId="0" fontId="18" fillId="0" borderId="1" xfId="0" applyFont="1" applyBorder="1" applyAlignment="1">
      <alignment horizont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21" fillId="0" borderId="3" xfId="0" applyFont="1" applyBorder="1" applyAlignment="1">
      <alignment horizontal="center"/>
    </xf>
    <xf numFmtId="0" fontId="21" fillId="0" borderId="4" xfId="0" applyFont="1" applyBorder="1" applyAlignment="1">
      <alignment horizontal="center"/>
    </xf>
    <xf numFmtId="0" fontId="21" fillId="0" borderId="5" xfId="0" applyFont="1" applyBorder="1" applyAlignment="1">
      <alignment horizontal="center"/>
    </xf>
    <xf numFmtId="0" fontId="6" fillId="0" borderId="0" xfId="0" applyFont="1" applyBorder="1" applyAlignment="1">
      <alignment horizontal="center"/>
    </xf>
    <xf numFmtId="0" fontId="18" fillId="0" borderId="0" xfId="0" applyFont="1" applyAlignment="1">
      <alignment horizontal="center"/>
    </xf>
    <xf numFmtId="0" fontId="5" fillId="0" borderId="7" xfId="0" quotePrefix="1" applyFont="1" applyBorder="1" applyAlignment="1">
      <alignment horizontal="left" vertical="top" wrapText="1"/>
    </xf>
    <xf numFmtId="0" fontId="18" fillId="0" borderId="9" xfId="0" applyFont="1" applyBorder="1" applyAlignment="1">
      <alignment horizontal="center"/>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top"/>
    </xf>
    <xf numFmtId="0" fontId="5" fillId="0" borderId="11" xfId="0" applyFont="1" applyBorder="1" applyAlignment="1">
      <alignment horizontal="left" vertical="top"/>
    </xf>
    <xf numFmtId="0" fontId="20" fillId="0" borderId="0" xfId="0" applyFont="1" applyAlignment="1">
      <alignment horizontal="center"/>
    </xf>
    <xf numFmtId="0" fontId="5" fillId="0" borderId="0" xfId="0" applyFont="1" applyAlignment="1">
      <alignment horizontal="center"/>
    </xf>
    <xf numFmtId="0" fontId="5" fillId="0" borderId="2"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DDEBF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314325</xdr:colOff>
      <xdr:row>0</xdr:row>
      <xdr:rowOff>123825</xdr:rowOff>
    </xdr:from>
    <xdr:to>
      <xdr:col>8</xdr:col>
      <xdr:colOff>542925</xdr:colOff>
      <xdr:row>0</xdr:row>
      <xdr:rowOff>855345</xdr:rowOff>
    </xdr:to>
    <xdr:pic>
      <xdr:nvPicPr>
        <xdr:cNvPr id="3" name="Picture 2">
          <a:extLst>
            <a:ext uri="{FF2B5EF4-FFF2-40B4-BE49-F238E27FC236}">
              <a16:creationId xmlns:a16="http://schemas.microsoft.com/office/drawing/2014/main" id="{C1DDB8DE-01CB-4FC0-A470-26752029B4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7475" y="123825"/>
          <a:ext cx="2971800" cy="731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352425</xdr:colOff>
      <xdr:row>0</xdr:row>
      <xdr:rowOff>152400</xdr:rowOff>
    </xdr:from>
    <xdr:to>
      <xdr:col>8</xdr:col>
      <xdr:colOff>161925</xdr:colOff>
      <xdr:row>0</xdr:row>
      <xdr:rowOff>883920</xdr:rowOff>
    </xdr:to>
    <xdr:pic>
      <xdr:nvPicPr>
        <xdr:cNvPr id="3" name="Picture 2">
          <a:extLst>
            <a:ext uri="{FF2B5EF4-FFF2-40B4-BE49-F238E27FC236}">
              <a16:creationId xmlns:a16="http://schemas.microsoft.com/office/drawing/2014/main" id="{0D0AC427-4FED-481B-A582-A33250F2E6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4175" y="152400"/>
          <a:ext cx="2971800" cy="731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323850</xdr:colOff>
      <xdr:row>0</xdr:row>
      <xdr:rowOff>173355</xdr:rowOff>
    </xdr:from>
    <xdr:to>
      <xdr:col>8</xdr:col>
      <xdr:colOff>723900</xdr:colOff>
      <xdr:row>0</xdr:row>
      <xdr:rowOff>904875</xdr:rowOff>
    </xdr:to>
    <xdr:pic>
      <xdr:nvPicPr>
        <xdr:cNvPr id="3" name="Picture 2">
          <a:extLst>
            <a:ext uri="{FF2B5EF4-FFF2-40B4-BE49-F238E27FC236}">
              <a16:creationId xmlns:a16="http://schemas.microsoft.com/office/drawing/2014/main" id="{717BF6FA-FF24-4578-B9BA-871DD0161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9400" y="173355"/>
          <a:ext cx="2971800" cy="7315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619125</xdr:colOff>
      <xdr:row>0</xdr:row>
      <xdr:rowOff>133350</xdr:rowOff>
    </xdr:from>
    <xdr:to>
      <xdr:col>8</xdr:col>
      <xdr:colOff>742950</xdr:colOff>
      <xdr:row>0</xdr:row>
      <xdr:rowOff>864870</xdr:rowOff>
    </xdr:to>
    <xdr:pic>
      <xdr:nvPicPr>
        <xdr:cNvPr id="2" name="Picture 1">
          <a:extLst>
            <a:ext uri="{FF2B5EF4-FFF2-40B4-BE49-F238E27FC236}">
              <a16:creationId xmlns:a16="http://schemas.microsoft.com/office/drawing/2014/main" id="{22EA1B16-3F8D-48C2-BAE9-0EEF793959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43275" y="133350"/>
          <a:ext cx="2971800" cy="731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0F7D-CDCF-4BA6-AF2B-01556E1B10FC}">
  <sheetPr codeName="Sheet1">
    <pageSetUpPr fitToPage="1"/>
  </sheetPr>
  <dimension ref="B1:L6"/>
  <sheetViews>
    <sheetView showGridLines="0" showRowColHeaders="0" tabSelected="1" workbookViewId="0">
      <selection activeCell="B3" sqref="B3:L3"/>
    </sheetView>
  </sheetViews>
  <sheetFormatPr defaultRowHeight="16.5" x14ac:dyDescent="0.3"/>
  <cols>
    <col min="1" max="1" width="4.28515625" style="1" customWidth="1"/>
    <col min="2" max="12" width="10.28515625" style="1" customWidth="1"/>
    <col min="13" max="13" width="4.28515625" style="1" customWidth="1"/>
    <col min="14" max="16384" width="9.140625" style="1"/>
  </cols>
  <sheetData>
    <row r="1" spans="2:12" ht="73.5" customHeight="1" x14ac:dyDescent="0.3"/>
    <row r="2" spans="2:12" s="131" customFormat="1" ht="27" x14ac:dyDescent="0.5">
      <c r="B2" s="145" t="s">
        <v>99</v>
      </c>
      <c r="C2" s="145"/>
      <c r="D2" s="145"/>
      <c r="E2" s="145"/>
      <c r="F2" s="145"/>
      <c r="G2" s="145"/>
      <c r="H2" s="145"/>
      <c r="I2" s="145"/>
      <c r="J2" s="145"/>
      <c r="K2" s="145"/>
      <c r="L2" s="145"/>
    </row>
    <row r="3" spans="2:12" ht="270.75" customHeight="1" x14ac:dyDescent="0.3">
      <c r="B3" s="146" t="s">
        <v>103</v>
      </c>
      <c r="C3" s="147"/>
      <c r="D3" s="147"/>
      <c r="E3" s="147"/>
      <c r="F3" s="147"/>
      <c r="G3" s="147"/>
      <c r="H3" s="147"/>
      <c r="I3" s="147"/>
      <c r="J3" s="147"/>
      <c r="K3" s="147"/>
      <c r="L3" s="148"/>
    </row>
    <row r="4" spans="2:12" ht="33" customHeight="1" x14ac:dyDescent="0.3">
      <c r="B4" s="149" t="s">
        <v>100</v>
      </c>
      <c r="C4" s="150"/>
      <c r="D4" s="150"/>
      <c r="E4" s="150"/>
      <c r="F4" s="150"/>
      <c r="G4" s="150"/>
      <c r="H4" s="150"/>
      <c r="I4" s="150"/>
      <c r="J4" s="150"/>
      <c r="K4" s="150"/>
      <c r="L4" s="151"/>
    </row>
    <row r="5" spans="2:12" ht="33" customHeight="1" x14ac:dyDescent="0.3">
      <c r="B5" s="149" t="s">
        <v>96</v>
      </c>
      <c r="C5" s="150"/>
      <c r="D5" s="150"/>
      <c r="E5" s="150"/>
      <c r="F5" s="150"/>
      <c r="G5" s="150"/>
      <c r="H5" s="150"/>
      <c r="I5" s="150"/>
      <c r="J5" s="150"/>
      <c r="K5" s="150"/>
      <c r="L5" s="151"/>
    </row>
    <row r="6" spans="2:12" ht="107.25" customHeight="1" x14ac:dyDescent="0.3">
      <c r="B6" s="152" t="s">
        <v>107</v>
      </c>
      <c r="C6" s="153"/>
      <c r="D6" s="153"/>
      <c r="E6" s="153"/>
      <c r="F6" s="153"/>
      <c r="G6" s="153"/>
      <c r="H6" s="153"/>
      <c r="I6" s="153"/>
      <c r="J6" s="153"/>
      <c r="K6" s="153"/>
      <c r="L6" s="154"/>
    </row>
  </sheetData>
  <sheetProtection algorithmName="SHA-512" hashValue="ConfMkF+EPXeGRQvfbCJ81DQZ3FPuvqvLYxlq4xp/1PeuwfcWKlwu/qgG7GWAM/6zs/IVl12v056SiJpQ9t4Cg==" saltValue="wls/X6mj9SxOacuQYKjrXg==" spinCount="100000" sheet="1" selectLockedCells="1"/>
  <mergeCells count="5">
    <mergeCell ref="B2:L2"/>
    <mergeCell ref="B3:L3"/>
    <mergeCell ref="B4:L4"/>
    <mergeCell ref="B5:L5"/>
    <mergeCell ref="B6:L6"/>
  </mergeCells>
  <pageMargins left="0.7" right="0.7" top="0.75"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E94F6-C343-441C-A391-914E5AB97217}">
  <sheetPr codeName="Sheet2">
    <pageSetUpPr fitToPage="1"/>
  </sheetPr>
  <dimension ref="A1:O34"/>
  <sheetViews>
    <sheetView showGridLines="0" showRowColHeaders="0" workbookViewId="0">
      <selection activeCell="J17" sqref="J17"/>
    </sheetView>
  </sheetViews>
  <sheetFormatPr defaultRowHeight="16.5" x14ac:dyDescent="0.3"/>
  <cols>
    <col min="1" max="1" width="5" style="1" customWidth="1"/>
    <col min="2" max="2" width="13.85546875" style="1" customWidth="1"/>
    <col min="3" max="3" width="11.85546875" style="1" customWidth="1"/>
    <col min="4" max="4" width="7.85546875" style="1" customWidth="1"/>
    <col min="5" max="9" width="11.85546875" style="1" customWidth="1"/>
    <col min="10" max="10" width="11.5703125" style="1" customWidth="1"/>
    <col min="11" max="11" width="15.7109375" style="1" customWidth="1"/>
    <col min="12" max="16384" width="9.140625" style="1"/>
  </cols>
  <sheetData>
    <row r="1" spans="1:15" ht="69.75" customHeight="1" x14ac:dyDescent="0.3"/>
    <row r="2" spans="1:15" ht="30" x14ac:dyDescent="0.55000000000000004">
      <c r="B2" s="158" t="s">
        <v>27</v>
      </c>
      <c r="C2" s="158"/>
      <c r="D2" s="158"/>
      <c r="E2" s="158"/>
      <c r="F2" s="158"/>
      <c r="G2" s="158"/>
      <c r="H2" s="158"/>
      <c r="I2" s="158"/>
      <c r="J2" s="158"/>
      <c r="K2" s="158"/>
    </row>
    <row r="3" spans="1:15" ht="68.25" customHeight="1" x14ac:dyDescent="0.3">
      <c r="B3" s="146" t="s">
        <v>105</v>
      </c>
      <c r="C3" s="147"/>
      <c r="D3" s="147"/>
      <c r="E3" s="147"/>
      <c r="F3" s="147"/>
      <c r="G3" s="147"/>
      <c r="H3" s="147"/>
      <c r="I3" s="147"/>
      <c r="J3" s="147"/>
      <c r="K3" s="148"/>
    </row>
    <row r="4" spans="1:15" ht="44.25" customHeight="1" x14ac:dyDescent="0.3">
      <c r="B4" s="160" t="s">
        <v>95</v>
      </c>
      <c r="C4" s="153"/>
      <c r="D4" s="153"/>
      <c r="E4" s="153"/>
      <c r="F4" s="153"/>
      <c r="G4" s="153"/>
      <c r="H4" s="153"/>
      <c r="I4" s="153"/>
      <c r="J4" s="153"/>
      <c r="K4" s="144" t="str">
        <f>HYPERLINK("#Amount_of_Gas_used", "Gas Loss Calculation")</f>
        <v>Gas Loss Calculation</v>
      </c>
      <c r="L4" s="2"/>
    </row>
    <row r="5" spans="1:15" ht="9.75" customHeight="1" x14ac:dyDescent="0.3">
      <c r="K5" s="2"/>
      <c r="L5" s="2"/>
    </row>
    <row r="6" spans="1:15" x14ac:dyDescent="0.3">
      <c r="B6" s="3"/>
      <c r="C6" s="4"/>
      <c r="D6" s="3" t="s">
        <v>0</v>
      </c>
      <c r="E6" s="5" t="s">
        <v>1</v>
      </c>
      <c r="F6" s="6" t="s">
        <v>2</v>
      </c>
    </row>
    <row r="7" spans="1:15" ht="18" x14ac:dyDescent="0.35">
      <c r="C7" s="7"/>
      <c r="D7" s="8" t="s">
        <v>3</v>
      </c>
      <c r="E7" s="9" t="s">
        <v>4</v>
      </c>
      <c r="F7" s="10"/>
    </row>
    <row r="8" spans="1:15" ht="38.25" customHeight="1" x14ac:dyDescent="0.5">
      <c r="B8" s="159" t="s">
        <v>97</v>
      </c>
      <c r="C8" s="159"/>
      <c r="D8" s="159"/>
      <c r="E8" s="159"/>
      <c r="F8" s="159"/>
      <c r="G8" s="159"/>
      <c r="H8" s="159"/>
      <c r="I8" s="159"/>
      <c r="J8" s="159"/>
      <c r="K8" s="159"/>
    </row>
    <row r="9" spans="1:15" ht="18.75" customHeight="1" x14ac:dyDescent="0.3">
      <c r="B9" s="155" t="s">
        <v>26</v>
      </c>
      <c r="C9" s="156"/>
      <c r="D9" s="156"/>
      <c r="E9" s="156"/>
      <c r="F9" s="156"/>
      <c r="G9" s="156"/>
      <c r="H9" s="156" t="s">
        <v>98</v>
      </c>
      <c r="I9" s="156"/>
      <c r="J9" s="156"/>
      <c r="K9" s="157"/>
    </row>
    <row r="10" spans="1:15" ht="6" customHeight="1" x14ac:dyDescent="0.35">
      <c r="B10" s="127"/>
      <c r="C10" s="126"/>
      <c r="D10" s="126"/>
      <c r="E10" s="126"/>
      <c r="F10" s="126"/>
      <c r="G10" s="126"/>
      <c r="H10" s="126"/>
      <c r="I10" s="126"/>
      <c r="J10" s="126"/>
      <c r="K10" s="128"/>
    </row>
    <row r="11" spans="1:15" ht="17.25" customHeight="1" x14ac:dyDescent="0.3">
      <c r="A11" s="2"/>
      <c r="B11" s="13" t="s">
        <v>24</v>
      </c>
      <c r="C11" s="132">
        <v>75</v>
      </c>
      <c r="D11" s="14" t="s">
        <v>5</v>
      </c>
      <c r="E11" s="133">
        <v>296</v>
      </c>
      <c r="F11" s="15" t="s">
        <v>7</v>
      </c>
      <c r="G11" s="15"/>
      <c r="H11" s="15"/>
      <c r="I11" s="16" t="s">
        <v>37</v>
      </c>
      <c r="J11" s="136">
        <v>26</v>
      </c>
      <c r="K11" s="17" t="s">
        <v>29</v>
      </c>
      <c r="L11" s="2"/>
      <c r="M11" s="2"/>
    </row>
    <row r="12" spans="1:15" s="27" customFormat="1" ht="6" customHeight="1" x14ac:dyDescent="0.3">
      <c r="A12" s="18"/>
      <c r="B12" s="19"/>
      <c r="C12" s="20"/>
      <c r="D12" s="21"/>
      <c r="E12" s="22"/>
      <c r="F12" s="23"/>
      <c r="G12" s="24"/>
      <c r="H12" s="24"/>
      <c r="I12" s="21"/>
      <c r="J12" s="25"/>
      <c r="K12" s="26"/>
      <c r="L12" s="18"/>
      <c r="M12" s="18"/>
    </row>
    <row r="13" spans="1:15" s="27" customFormat="1" ht="15" customHeight="1" x14ac:dyDescent="0.3">
      <c r="A13" s="18"/>
      <c r="B13" s="28" t="s">
        <v>28</v>
      </c>
      <c r="C13" s="132">
        <v>0.3</v>
      </c>
      <c r="D13" s="21" t="s">
        <v>5</v>
      </c>
      <c r="E13" s="133">
        <v>1</v>
      </c>
      <c r="F13" s="134" t="s">
        <v>17</v>
      </c>
      <c r="G13" s="24"/>
      <c r="H13" s="24"/>
      <c r="I13" s="29" t="s">
        <v>45</v>
      </c>
      <c r="J13" s="137">
        <v>15.5</v>
      </c>
      <c r="K13" s="30" t="s">
        <v>46</v>
      </c>
      <c r="L13" s="18"/>
      <c r="M13" s="18"/>
    </row>
    <row r="14" spans="1:15" s="27" customFormat="1" ht="6" customHeight="1" x14ac:dyDescent="0.3">
      <c r="A14" s="18"/>
      <c r="B14" s="19"/>
      <c r="C14" s="20"/>
      <c r="D14" s="21"/>
      <c r="E14" s="22"/>
      <c r="F14" s="23"/>
      <c r="G14" s="24"/>
      <c r="H14" s="24"/>
      <c r="I14" s="24"/>
      <c r="J14" s="24"/>
      <c r="K14" s="30"/>
      <c r="L14" s="18"/>
      <c r="M14" s="18"/>
      <c r="N14" s="18"/>
      <c r="O14" s="1"/>
    </row>
    <row r="15" spans="1:15" ht="15" customHeight="1" x14ac:dyDescent="0.3">
      <c r="A15" s="2"/>
      <c r="B15" s="28" t="s">
        <v>25</v>
      </c>
      <c r="C15" s="132">
        <v>0.18</v>
      </c>
      <c r="D15" s="14" t="s">
        <v>5</v>
      </c>
      <c r="E15" s="133">
        <v>1</v>
      </c>
      <c r="F15" s="135" t="s">
        <v>7</v>
      </c>
      <c r="G15" s="15"/>
      <c r="H15" s="15"/>
      <c r="I15" s="31" t="s">
        <v>30</v>
      </c>
      <c r="J15" s="138">
        <v>20</v>
      </c>
      <c r="K15" s="32" t="s">
        <v>9</v>
      </c>
      <c r="L15" s="2"/>
      <c r="M15" s="2"/>
      <c r="N15" s="2"/>
    </row>
    <row r="16" spans="1:15" s="27" customFormat="1" ht="6" customHeight="1" x14ac:dyDescent="0.3">
      <c r="A16" s="18"/>
      <c r="B16" s="33"/>
      <c r="C16" s="20"/>
      <c r="D16" s="21"/>
      <c r="E16" s="22"/>
      <c r="F16" s="24"/>
      <c r="G16" s="24"/>
      <c r="H16" s="24"/>
      <c r="I16" s="16"/>
      <c r="J16" s="34"/>
      <c r="K16" s="30"/>
      <c r="L16" s="18"/>
      <c r="M16" s="18"/>
      <c r="N16" s="18"/>
    </row>
    <row r="17" spans="1:14" ht="15" customHeight="1" x14ac:dyDescent="0.3">
      <c r="A17" s="2"/>
      <c r="B17" s="28"/>
      <c r="C17" s="20"/>
      <c r="D17" s="15"/>
      <c r="E17" s="15"/>
      <c r="F17" s="15"/>
      <c r="G17" s="15"/>
      <c r="H17" s="15"/>
      <c r="I17" s="31" t="s">
        <v>68</v>
      </c>
      <c r="J17" s="139">
        <v>0.2</v>
      </c>
      <c r="K17" s="35"/>
      <c r="L17" s="2"/>
      <c r="M17" s="2"/>
      <c r="N17" s="2"/>
    </row>
    <row r="18" spans="1:14" s="27" customFormat="1" ht="10.5" customHeight="1" x14ac:dyDescent="0.3">
      <c r="A18" s="18"/>
      <c r="B18" s="33"/>
      <c r="C18" s="20"/>
      <c r="D18" s="24"/>
      <c r="E18" s="24"/>
      <c r="F18" s="24"/>
      <c r="G18" s="24"/>
      <c r="H18" s="24"/>
      <c r="I18" s="16"/>
      <c r="J18" s="34"/>
      <c r="K18" s="30"/>
      <c r="L18" s="18"/>
      <c r="M18" s="18"/>
      <c r="N18" s="18"/>
    </row>
    <row r="19" spans="1:14" ht="15" customHeight="1" x14ac:dyDescent="0.3">
      <c r="A19" s="2"/>
      <c r="B19" s="36"/>
      <c r="C19" s="15"/>
      <c r="D19" s="15"/>
      <c r="E19" s="14"/>
      <c r="F19" s="15"/>
      <c r="G19" s="37" t="s">
        <v>38</v>
      </c>
      <c r="H19" s="140">
        <v>0.7</v>
      </c>
      <c r="I19" s="15"/>
      <c r="J19" s="15"/>
      <c r="K19" s="35"/>
      <c r="L19" s="2"/>
      <c r="M19" s="2"/>
      <c r="N19" s="2"/>
    </row>
    <row r="20" spans="1:14" ht="6" customHeight="1" x14ac:dyDescent="0.3">
      <c r="A20" s="2"/>
      <c r="B20" s="38"/>
      <c r="C20" s="39"/>
      <c r="D20" s="40"/>
      <c r="E20" s="41"/>
      <c r="F20" s="42"/>
      <c r="G20" s="43"/>
      <c r="H20" s="43"/>
      <c r="I20" s="43"/>
      <c r="J20" s="44"/>
      <c r="K20" s="45"/>
      <c r="L20" s="2"/>
      <c r="M20" s="2"/>
      <c r="N20" s="2"/>
    </row>
    <row r="21" spans="1:14" ht="32.25" customHeight="1" x14ac:dyDescent="0.5">
      <c r="A21" s="2"/>
      <c r="B21" s="159" t="s">
        <v>10</v>
      </c>
      <c r="C21" s="159"/>
      <c r="D21" s="159"/>
      <c r="E21" s="159"/>
      <c r="F21" s="159"/>
      <c r="G21" s="159"/>
      <c r="H21" s="159"/>
      <c r="I21" s="159"/>
      <c r="J21" s="159"/>
      <c r="K21" s="159"/>
      <c r="L21" s="2"/>
      <c r="M21" s="2"/>
      <c r="N21" s="2"/>
    </row>
    <row r="22" spans="1:14" ht="6" customHeight="1" x14ac:dyDescent="0.3">
      <c r="A22" s="2"/>
      <c r="B22" s="46"/>
      <c r="C22" s="47"/>
      <c r="D22" s="47"/>
      <c r="E22" s="47"/>
      <c r="F22" s="47"/>
      <c r="G22" s="48"/>
      <c r="H22" s="48"/>
      <c r="I22" s="48"/>
      <c r="J22" s="48"/>
      <c r="K22" s="49"/>
      <c r="L22" s="2"/>
      <c r="M22" s="2"/>
      <c r="N22" s="2"/>
    </row>
    <row r="23" spans="1:14" ht="16.5" customHeight="1" x14ac:dyDescent="0.3">
      <c r="A23" s="2"/>
      <c r="B23" s="50"/>
      <c r="C23" s="15"/>
      <c r="D23" s="15"/>
      <c r="E23" s="15"/>
      <c r="F23" s="51" t="s">
        <v>15</v>
      </c>
      <c r="G23" s="52">
        <f>VLOOKUP(PM_per, Calculations!B16:D18,2,FALSE)</f>
        <v>1.7446357338731628</v>
      </c>
      <c r="H23" s="134" t="s">
        <v>6</v>
      </c>
      <c r="I23" s="53"/>
      <c r="J23" s="23"/>
      <c r="K23" s="26"/>
      <c r="L23" s="2"/>
      <c r="M23" s="2"/>
      <c r="N23" s="2"/>
    </row>
    <row r="24" spans="1:14" ht="6" customHeight="1" x14ac:dyDescent="0.3">
      <c r="A24" s="2"/>
      <c r="B24" s="28"/>
      <c r="C24" s="15"/>
      <c r="D24" s="15"/>
      <c r="E24" s="15"/>
      <c r="F24" s="31"/>
      <c r="G24" s="54"/>
      <c r="H24" s="55"/>
      <c r="I24" s="21"/>
      <c r="J24" s="23"/>
      <c r="K24" s="26"/>
      <c r="L24" s="2"/>
      <c r="M24" s="2"/>
      <c r="N24" s="2"/>
    </row>
    <row r="25" spans="1:14" x14ac:dyDescent="0.3">
      <c r="A25" s="2"/>
      <c r="B25" s="28"/>
      <c r="C25" s="15"/>
      <c r="D25" s="15"/>
      <c r="E25" s="15"/>
      <c r="F25" s="31" t="s">
        <v>101</v>
      </c>
      <c r="G25" s="52">
        <f>VLOOKUP(Trumix_per, Calculations!B16:D18,3,FALSE)</f>
        <v>0.53723391621222683</v>
      </c>
      <c r="H25" s="55" t="str">
        <f>PM_per</f>
        <v>per keg</v>
      </c>
      <c r="I25" s="53"/>
      <c r="J25" s="23"/>
      <c r="K25" s="26"/>
      <c r="L25" s="2"/>
      <c r="M25" s="2"/>
      <c r="N25" s="2"/>
    </row>
    <row r="26" spans="1:14" ht="6" customHeight="1" x14ac:dyDescent="0.3">
      <c r="A26" s="2"/>
      <c r="B26" s="56"/>
      <c r="C26" s="14"/>
      <c r="D26" s="14"/>
      <c r="E26" s="14"/>
      <c r="F26" s="14"/>
      <c r="G26" s="21"/>
      <c r="H26" s="21"/>
      <c r="I26" s="21"/>
      <c r="J26" s="23"/>
      <c r="K26" s="26"/>
      <c r="L26" s="2"/>
      <c r="M26" s="2"/>
      <c r="N26" s="2"/>
    </row>
    <row r="27" spans="1:14" ht="15" customHeight="1" x14ac:dyDescent="0.3">
      <c r="B27" s="36"/>
      <c r="C27" s="15"/>
      <c r="D27" s="15"/>
      <c r="E27" s="15"/>
      <c r="F27" s="15"/>
      <c r="G27" s="15"/>
      <c r="H27" s="15"/>
      <c r="I27" s="15"/>
      <c r="J27" s="15"/>
      <c r="K27" s="35"/>
    </row>
    <row r="28" spans="1:14" ht="6" customHeight="1" x14ac:dyDescent="0.3">
      <c r="B28" s="57"/>
      <c r="C28" s="58"/>
      <c r="D28" s="58"/>
      <c r="E28" s="58"/>
      <c r="F28" s="58"/>
      <c r="G28" s="58"/>
      <c r="H28" s="58"/>
      <c r="I28" s="58"/>
      <c r="J28" s="58"/>
      <c r="K28" s="59"/>
    </row>
    <row r="29" spans="1:14" ht="15" customHeight="1" x14ac:dyDescent="0.3">
      <c r="B29" s="60"/>
      <c r="C29" s="61"/>
      <c r="E29" s="37" t="s">
        <v>11</v>
      </c>
      <c r="F29" s="62">
        <f>Calculations!C19</f>
        <v>34.89271467746326</v>
      </c>
      <c r="G29" s="61" t="s">
        <v>8</v>
      </c>
      <c r="H29" s="62">
        <f>F29*12</f>
        <v>418.71257612955912</v>
      </c>
      <c r="I29" s="15" t="s">
        <v>13</v>
      </c>
      <c r="K29" s="35"/>
    </row>
    <row r="30" spans="1:14" ht="6.75" customHeight="1" x14ac:dyDescent="0.3">
      <c r="B30" s="63"/>
      <c r="C30" s="37"/>
      <c r="E30" s="37"/>
      <c r="F30" s="64"/>
      <c r="G30" s="65"/>
      <c r="H30" s="64"/>
      <c r="I30" s="24"/>
      <c r="K30" s="35"/>
    </row>
    <row r="31" spans="1:14" x14ac:dyDescent="0.3">
      <c r="B31" s="60"/>
      <c r="C31" s="61"/>
      <c r="E31" s="37" t="s">
        <v>12</v>
      </c>
      <c r="F31" s="62">
        <f>Calculations!D19</f>
        <v>10.744678324244536</v>
      </c>
      <c r="G31" s="61" t="s">
        <v>8</v>
      </c>
      <c r="H31" s="62">
        <f>F31*12</f>
        <v>128.93613989093444</v>
      </c>
      <c r="I31" s="15" t="s">
        <v>13</v>
      </c>
      <c r="K31" s="35"/>
    </row>
    <row r="32" spans="1:14" ht="6" customHeight="1" x14ac:dyDescent="0.3">
      <c r="B32" s="36"/>
      <c r="C32" s="15"/>
      <c r="E32" s="37"/>
      <c r="F32" s="15"/>
      <c r="G32" s="15"/>
      <c r="H32" s="15"/>
      <c r="I32" s="15"/>
      <c r="K32" s="35"/>
    </row>
    <row r="33" spans="2:11" x14ac:dyDescent="0.3">
      <c r="B33" s="60"/>
      <c r="C33" s="61"/>
      <c r="E33" s="37" t="s">
        <v>14</v>
      </c>
      <c r="F33" s="62">
        <f>F29-F31</f>
        <v>24.148036353218725</v>
      </c>
      <c r="G33" s="61" t="s">
        <v>8</v>
      </c>
      <c r="H33" s="62">
        <f>H29-H31</f>
        <v>289.77643623862468</v>
      </c>
      <c r="I33" s="15" t="s">
        <v>13</v>
      </c>
      <c r="K33" s="35"/>
    </row>
    <row r="34" spans="2:11" ht="6" customHeight="1" x14ac:dyDescent="0.3">
      <c r="B34" s="66"/>
      <c r="C34" s="67"/>
      <c r="D34" s="67"/>
      <c r="E34" s="67"/>
      <c r="F34" s="67"/>
      <c r="G34" s="67"/>
      <c r="H34" s="67"/>
      <c r="I34" s="67"/>
      <c r="J34" s="67"/>
      <c r="K34" s="45"/>
    </row>
  </sheetData>
  <sheetProtection algorithmName="SHA-512" hashValue="p5MWWVmEV1lETHNhMyCvEj7YyGlLNWLaOPh8xpA4N1OKrz3HjuZy1F7qWwkQJgMJ2VTGX2uCpfGs/KS8CrgVoQ==" saltValue="Nx+/JbE20HWystL9sJwpFw==" spinCount="100000" sheet="1" selectLockedCells="1"/>
  <scenarios current="0" show="0">
    <scenario name="if you change" locked="1" count="1" user="Emily Shirley" comment="Created by Emily Shirley on 12/22/2017_x000a_Modified by Emily Shirley on 12/22/2017">
      <inputCells r="J17" val="#NAME?" numFmtId="9"/>
    </scenario>
  </scenarios>
  <mergeCells count="7">
    <mergeCell ref="B9:G9"/>
    <mergeCell ref="H9:K9"/>
    <mergeCell ref="B2:K2"/>
    <mergeCell ref="B21:K21"/>
    <mergeCell ref="B3:K3"/>
    <mergeCell ref="B4:J4"/>
    <mergeCell ref="B8:K8"/>
  </mergeCells>
  <dataValidations count="1">
    <dataValidation errorStyle="information" allowBlank="1" showInputMessage="1" showErrorMessage="1" sqref="N6" xr:uid="{D30C1ED8-010B-457F-A518-BBD94C6BD27D}"/>
  </dataValidations>
  <pageMargins left="0.7" right="0.7" top="0.75" bottom="0.75" header="0.3" footer="0.3"/>
  <pageSetup scale="73" orientation="portrait" r:id="rId1"/>
  <ignoredErrors>
    <ignoredError sqref="K4"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3DAD24C-258B-401C-B72C-E1E8669BD972}">
          <x14:formula1>
            <xm:f>Calculations!$B$16:$B$18</xm:f>
          </x14:formula1>
          <xm:sqref>H23</xm:sqref>
        </x14:dataValidation>
        <x14:dataValidation type="list" allowBlank="1" showInputMessage="1" showErrorMessage="1" xr:uid="{664F8E66-F8AF-4CA0-9E1E-3ABC7FBF8F51}">
          <x14:formula1>
            <xm:f>Calculations!$B$8:$B$10</xm:f>
          </x14:formula1>
          <xm:sqref>F13 F15:F16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459A2-95A3-4A3E-8959-7F89B410568C}">
  <sheetPr codeName="Sheet3">
    <pageSetUpPr fitToPage="1"/>
  </sheetPr>
  <dimension ref="B1:L22"/>
  <sheetViews>
    <sheetView showGridLines="0" showRowColHeaders="0" workbookViewId="0">
      <selection activeCell="E9" sqref="E9"/>
    </sheetView>
  </sheetViews>
  <sheetFormatPr defaultRowHeight="16.5" x14ac:dyDescent="0.3"/>
  <cols>
    <col min="1" max="1" width="6.85546875" style="1" customWidth="1"/>
    <col min="2" max="4" width="9.140625" style="1"/>
    <col min="5" max="5" width="11.140625" style="1" customWidth="1"/>
    <col min="6" max="7" width="9.140625" style="1"/>
    <col min="8" max="8" width="9.140625" style="1" customWidth="1"/>
    <col min="9" max="9" width="12.7109375" style="1" customWidth="1"/>
    <col min="10" max="10" width="9.140625" style="1"/>
    <col min="11" max="11" width="9.28515625" style="1" bestFit="1" customWidth="1"/>
    <col min="12" max="16384" width="9.140625" style="1"/>
  </cols>
  <sheetData>
    <row r="1" spans="2:12" ht="73.5" customHeight="1" x14ac:dyDescent="0.3"/>
    <row r="2" spans="2:12" ht="30" x14ac:dyDescent="0.55000000000000004">
      <c r="B2" s="158" t="s">
        <v>67</v>
      </c>
      <c r="C2" s="158"/>
      <c r="D2" s="158"/>
      <c r="E2" s="158"/>
      <c r="F2" s="158"/>
      <c r="G2" s="158"/>
      <c r="H2" s="158"/>
      <c r="I2" s="158"/>
      <c r="J2" s="158"/>
      <c r="K2" s="158"/>
      <c r="L2" s="158"/>
    </row>
    <row r="3" spans="2:12" ht="135.75" customHeight="1" x14ac:dyDescent="0.3">
      <c r="B3" s="162" t="s">
        <v>104</v>
      </c>
      <c r="C3" s="163"/>
      <c r="D3" s="163"/>
      <c r="E3" s="163"/>
      <c r="F3" s="163"/>
      <c r="G3" s="163"/>
      <c r="H3" s="163"/>
      <c r="I3" s="163"/>
      <c r="J3" s="163"/>
      <c r="K3" s="163"/>
      <c r="L3" s="164"/>
    </row>
    <row r="4" spans="2:12" ht="6" customHeight="1" x14ac:dyDescent="0.3">
      <c r="B4" s="68"/>
      <c r="C4" s="68"/>
      <c r="D4" s="68"/>
      <c r="E4" s="68"/>
      <c r="F4" s="68"/>
      <c r="G4" s="68"/>
      <c r="H4" s="68"/>
      <c r="I4" s="68"/>
      <c r="J4" s="68"/>
      <c r="K4" s="68"/>
    </row>
    <row r="5" spans="2:12" x14ac:dyDescent="0.3">
      <c r="C5" s="4"/>
      <c r="D5" s="3" t="s">
        <v>0</v>
      </c>
      <c r="E5" s="5" t="s">
        <v>1</v>
      </c>
      <c r="F5" s="6" t="s">
        <v>2</v>
      </c>
      <c r="H5" s="68"/>
      <c r="I5" s="68"/>
      <c r="J5" s="68"/>
      <c r="K5" s="68"/>
    </row>
    <row r="6" spans="2:12" ht="18" x14ac:dyDescent="0.35">
      <c r="D6" s="8" t="s">
        <v>3</v>
      </c>
      <c r="E6" s="9" t="s">
        <v>4</v>
      </c>
      <c r="F6" s="10"/>
    </row>
    <row r="7" spans="2:12" ht="6" customHeight="1" x14ac:dyDescent="0.35">
      <c r="C7" s="11"/>
      <c r="D7" s="11"/>
      <c r="E7" s="11"/>
      <c r="F7" s="12"/>
      <c r="G7" s="10"/>
    </row>
    <row r="8" spans="2:12" ht="6" customHeight="1" x14ac:dyDescent="0.35">
      <c r="B8" s="69"/>
      <c r="C8" s="70"/>
      <c r="D8" s="70"/>
      <c r="E8" s="70"/>
      <c r="F8" s="71"/>
      <c r="G8" s="72"/>
      <c r="H8" s="73"/>
      <c r="I8" s="73"/>
      <c r="J8" s="73"/>
      <c r="K8" s="73"/>
      <c r="L8" s="74"/>
    </row>
    <row r="9" spans="2:12" x14ac:dyDescent="0.3">
      <c r="B9" s="36"/>
      <c r="C9" s="15"/>
      <c r="D9" s="31" t="s">
        <v>65</v>
      </c>
      <c r="E9" s="133">
        <v>150</v>
      </c>
      <c r="F9" s="15" t="s">
        <v>47</v>
      </c>
      <c r="G9" s="15"/>
      <c r="H9" s="15"/>
      <c r="I9" s="15"/>
      <c r="J9" s="37" t="s">
        <v>59</v>
      </c>
      <c r="K9" s="75">
        <f>Cal_Gas_Loss_Factor</f>
        <v>0.31</v>
      </c>
      <c r="L9" s="35"/>
    </row>
    <row r="10" spans="2:12" s="27" customFormat="1" ht="6" customHeight="1" x14ac:dyDescent="0.3">
      <c r="B10" s="76"/>
      <c r="C10" s="24"/>
      <c r="D10" s="16"/>
      <c r="E10" s="22"/>
      <c r="F10" s="24"/>
      <c r="G10" s="24"/>
      <c r="H10" s="24"/>
      <c r="I10" s="24"/>
      <c r="J10" s="29"/>
      <c r="K10" s="77"/>
      <c r="L10" s="30"/>
    </row>
    <row r="11" spans="2:12" x14ac:dyDescent="0.3">
      <c r="B11" s="36"/>
      <c r="C11" s="15"/>
      <c r="G11" s="14" t="str">
        <f>Kegs_month&amp;" kegs used per month"</f>
        <v>20 kegs used per month</v>
      </c>
      <c r="H11" s="24"/>
      <c r="I11" s="15"/>
      <c r="J11" s="29"/>
      <c r="K11" s="77"/>
      <c r="L11" s="35"/>
    </row>
    <row r="12" spans="2:12" ht="6" customHeight="1" x14ac:dyDescent="0.3">
      <c r="B12" s="66"/>
      <c r="C12" s="67"/>
      <c r="D12" s="67"/>
      <c r="E12" s="67"/>
      <c r="F12" s="67"/>
      <c r="G12" s="67"/>
      <c r="H12" s="67"/>
      <c r="I12" s="78"/>
      <c r="J12" s="67"/>
      <c r="K12" s="67"/>
      <c r="L12" s="45"/>
    </row>
    <row r="13" spans="2:12" ht="38.25" customHeight="1" x14ac:dyDescent="0.5">
      <c r="B13" s="161" t="s">
        <v>64</v>
      </c>
      <c r="C13" s="161"/>
      <c r="D13" s="161"/>
      <c r="E13" s="161"/>
      <c r="F13" s="161"/>
      <c r="G13" s="161"/>
      <c r="H13" s="161"/>
      <c r="I13" s="161"/>
      <c r="J13" s="161"/>
      <c r="K13" s="161"/>
      <c r="L13" s="161"/>
    </row>
    <row r="14" spans="2:12" ht="6" customHeight="1" x14ac:dyDescent="0.3">
      <c r="B14" s="69"/>
      <c r="C14" s="73"/>
      <c r="D14" s="73"/>
      <c r="E14" s="79"/>
      <c r="F14" s="73"/>
      <c r="G14" s="73"/>
      <c r="H14" s="73"/>
      <c r="I14" s="73"/>
      <c r="J14" s="73"/>
      <c r="K14" s="73"/>
      <c r="L14" s="74"/>
    </row>
    <row r="15" spans="2:12" x14ac:dyDescent="0.3">
      <c r="B15" s="36"/>
      <c r="C15" s="15"/>
      <c r="D15" s="37" t="s">
        <v>50</v>
      </c>
      <c r="E15" s="141">
        <v>0.1</v>
      </c>
      <c r="F15" s="15" t="s">
        <v>49</v>
      </c>
      <c r="G15" s="15"/>
      <c r="H15" s="15"/>
      <c r="I15" s="15"/>
      <c r="J15" s="37" t="s">
        <v>58</v>
      </c>
      <c r="K15" s="75">
        <f>New_Gas_Loss_Factor</f>
        <v>0.27900000000000003</v>
      </c>
      <c r="L15" s="35"/>
    </row>
    <row r="16" spans="2:12" ht="6" customHeight="1" x14ac:dyDescent="0.3">
      <c r="B16" s="36"/>
      <c r="C16" s="15"/>
      <c r="D16" s="15"/>
      <c r="E16" s="15"/>
      <c r="F16" s="15"/>
      <c r="G16" s="15"/>
      <c r="H16" s="15"/>
      <c r="I16" s="15"/>
      <c r="J16" s="80"/>
      <c r="K16" s="15"/>
      <c r="L16" s="35"/>
    </row>
    <row r="17" spans="2:12" x14ac:dyDescent="0.3">
      <c r="B17" s="36"/>
      <c r="C17" s="15"/>
      <c r="D17" s="37" t="s">
        <v>51</v>
      </c>
      <c r="E17" s="81">
        <f>Calculations!C31</f>
        <v>3.2241834060806127</v>
      </c>
      <c r="F17" s="15" t="s">
        <v>52</v>
      </c>
      <c r="G17" s="15"/>
      <c r="H17" s="15"/>
      <c r="I17" s="82">
        <f>E17*12</f>
        <v>38.690200872967353</v>
      </c>
      <c r="J17" s="15" t="s">
        <v>56</v>
      </c>
      <c r="K17" s="15"/>
      <c r="L17" s="35"/>
    </row>
    <row r="18" spans="2:12" ht="6" customHeight="1" x14ac:dyDescent="0.3">
      <c r="B18" s="36"/>
      <c r="C18" s="15"/>
      <c r="D18" s="15"/>
      <c r="E18" s="15"/>
      <c r="F18" s="83"/>
      <c r="G18" s="15"/>
      <c r="H18" s="15"/>
      <c r="I18" s="83"/>
      <c r="J18" s="15"/>
      <c r="K18" s="15"/>
      <c r="L18" s="35"/>
    </row>
    <row r="19" spans="2:12" ht="15" customHeight="1" x14ac:dyDescent="0.3">
      <c r="B19" s="36"/>
      <c r="C19" s="15"/>
      <c r="D19" s="37"/>
      <c r="E19" s="84">
        <f>Calculations!C33</f>
        <v>1.5560313930204153</v>
      </c>
      <c r="F19" s="85" t="s">
        <v>63</v>
      </c>
      <c r="G19" s="15"/>
      <c r="H19" s="15"/>
      <c r="I19" s="82">
        <f>E19*12</f>
        <v>18.672376716244983</v>
      </c>
      <c r="J19" s="15" t="s">
        <v>61</v>
      </c>
      <c r="K19" s="15"/>
      <c r="L19" s="35"/>
    </row>
    <row r="20" spans="2:12" ht="6" customHeight="1" x14ac:dyDescent="0.3">
      <c r="B20" s="36"/>
      <c r="C20" s="15"/>
      <c r="D20" s="15"/>
      <c r="E20" s="86"/>
      <c r="F20" s="83"/>
      <c r="G20" s="15"/>
      <c r="H20" s="15"/>
      <c r="I20" s="83"/>
      <c r="J20" s="15"/>
      <c r="K20" s="15"/>
      <c r="L20" s="35"/>
    </row>
    <row r="21" spans="2:12" x14ac:dyDescent="0.3">
      <c r="B21" s="36"/>
      <c r="C21" s="15"/>
      <c r="D21" s="37" t="s">
        <v>51</v>
      </c>
      <c r="E21" s="87">
        <f>Calculations!C32</f>
        <v>0.25156368607603374</v>
      </c>
      <c r="F21" s="61" t="s">
        <v>53</v>
      </c>
      <c r="G21" s="15"/>
      <c r="H21" s="15"/>
      <c r="I21" s="88">
        <f>E21*12</f>
        <v>3.0187642329124049</v>
      </c>
      <c r="J21" s="15" t="s">
        <v>57</v>
      </c>
      <c r="K21" s="15"/>
      <c r="L21" s="35"/>
    </row>
    <row r="22" spans="2:12" ht="6" customHeight="1" x14ac:dyDescent="0.3">
      <c r="B22" s="66"/>
      <c r="C22" s="67"/>
      <c r="D22" s="67"/>
      <c r="E22" s="67"/>
      <c r="F22" s="67"/>
      <c r="G22" s="89"/>
      <c r="H22" s="89"/>
      <c r="I22" s="67"/>
      <c r="J22" s="67"/>
      <c r="K22" s="67"/>
      <c r="L22" s="45"/>
    </row>
  </sheetData>
  <sheetProtection algorithmName="SHA-512" hashValue="vDnRl/V2mnoQSBXKux477NHgeesdvyh7/rskhFUVUJZCM2GEyq2ZNxAcPzlD1xj0PIO2Oc5NJdzvPonV4xCUyQ==" saltValue="5lOPzWaJAzbbJuZwgW9YIw==" spinCount="100000" sheet="1" selectLockedCells="1"/>
  <dataConsolidate/>
  <mergeCells count="3">
    <mergeCell ref="B13:L13"/>
    <mergeCell ref="B3:L3"/>
    <mergeCell ref="B2:L2"/>
  </mergeCells>
  <dataValidations disablePrompts="1" count="1">
    <dataValidation errorStyle="warning" allowBlank="1" showInputMessage="1" showErrorMessage="1" errorTitle="Dumb dumb.." error="Your amount of gas vs amount of kegs you use is off" sqref="E17" xr:uid="{85A3A889-5DD5-4705-8B5A-FCD458C0DCD8}"/>
  </dataValidations>
  <pageMargins left="0.7" right="0.7" top="0.75" bottom="0.75" header="0.3" footer="0.3"/>
  <pageSetup scale="86"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86891-DD7E-4CFD-BCF6-FB8EC9358157}">
  <sheetPr codeName="Sheet4">
    <pageSetUpPr fitToPage="1"/>
  </sheetPr>
  <dimension ref="B1:L30"/>
  <sheetViews>
    <sheetView showGridLines="0" showRowColHeaders="0" workbookViewId="0">
      <selection activeCell="D9" sqref="D9"/>
    </sheetView>
  </sheetViews>
  <sheetFormatPr defaultRowHeight="16.5" x14ac:dyDescent="0.3"/>
  <cols>
    <col min="1" max="1" width="4.28515625" style="1" customWidth="1"/>
    <col min="2" max="3" width="9.140625" style="1"/>
    <col min="4" max="4" width="12.5703125" style="1" customWidth="1"/>
    <col min="5" max="5" width="13.85546875" style="1" customWidth="1"/>
    <col min="6" max="6" width="9.140625" style="1" customWidth="1"/>
    <col min="7" max="7" width="9.140625" style="1"/>
    <col min="8" max="8" width="10.5703125" style="1" bestFit="1" customWidth="1"/>
    <col min="9" max="9" width="16.42578125" style="1" customWidth="1"/>
    <col min="10" max="10" width="14.85546875" style="1" customWidth="1"/>
    <col min="11" max="11" width="10.5703125" style="1" customWidth="1"/>
    <col min="12" max="12" width="7" style="1" customWidth="1"/>
    <col min="13" max="16384" width="9.140625" style="1"/>
  </cols>
  <sheetData>
    <row r="1" spans="2:12" ht="73.5" customHeight="1" x14ac:dyDescent="0.3"/>
    <row r="2" spans="2:12" ht="30" x14ac:dyDescent="0.55000000000000004">
      <c r="B2" s="158" t="s">
        <v>66</v>
      </c>
      <c r="C2" s="158"/>
      <c r="D2" s="158"/>
      <c r="E2" s="158"/>
      <c r="F2" s="158"/>
      <c r="G2" s="158"/>
      <c r="H2" s="158"/>
      <c r="I2" s="158"/>
      <c r="J2" s="158"/>
      <c r="K2" s="158"/>
      <c r="L2" s="158"/>
    </row>
    <row r="3" spans="2:12" ht="168.75" customHeight="1" x14ac:dyDescent="0.3">
      <c r="B3" s="162" t="s">
        <v>106</v>
      </c>
      <c r="C3" s="168"/>
      <c r="D3" s="168"/>
      <c r="E3" s="168"/>
      <c r="F3" s="168"/>
      <c r="G3" s="168"/>
      <c r="H3" s="168"/>
      <c r="I3" s="168"/>
      <c r="J3" s="168"/>
      <c r="K3" s="168"/>
      <c r="L3" s="169"/>
    </row>
    <row r="4" spans="2:12" ht="6.75" customHeight="1" x14ac:dyDescent="0.3"/>
    <row r="5" spans="2:12" x14ac:dyDescent="0.3">
      <c r="C5" s="3"/>
      <c r="D5" s="3" t="s">
        <v>0</v>
      </c>
      <c r="E5" s="5" t="s">
        <v>1</v>
      </c>
      <c r="F5" s="6" t="s">
        <v>2</v>
      </c>
    </row>
    <row r="6" spans="2:12" ht="18" x14ac:dyDescent="0.35">
      <c r="D6" s="8" t="s">
        <v>3</v>
      </c>
      <c r="E6" s="9" t="s">
        <v>4</v>
      </c>
      <c r="F6" s="10"/>
    </row>
    <row r="8" spans="2:12" ht="6" customHeight="1" x14ac:dyDescent="0.3">
      <c r="B8" s="90"/>
      <c r="C8" s="91"/>
      <c r="D8" s="91"/>
      <c r="E8" s="91"/>
      <c r="F8" s="91"/>
      <c r="G8" s="91"/>
      <c r="H8" s="91"/>
      <c r="I8" s="91"/>
      <c r="J8" s="91"/>
      <c r="K8" s="91"/>
      <c r="L8" s="92"/>
    </row>
    <row r="9" spans="2:12" x14ac:dyDescent="0.3">
      <c r="B9" s="36"/>
      <c r="C9" s="37" t="s">
        <v>69</v>
      </c>
      <c r="D9" s="142">
        <v>95</v>
      </c>
      <c r="E9" s="15" t="s">
        <v>6</v>
      </c>
      <c r="F9" s="15"/>
      <c r="G9" s="15"/>
      <c r="H9" s="37" t="s">
        <v>70</v>
      </c>
      <c r="I9" s="143">
        <v>16</v>
      </c>
      <c r="J9" s="86" t="s">
        <v>93</v>
      </c>
      <c r="K9" s="142">
        <v>4.5</v>
      </c>
      <c r="L9" s="35"/>
    </row>
    <row r="10" spans="2:12" ht="9.75" customHeight="1" x14ac:dyDescent="0.3">
      <c r="B10" s="36"/>
      <c r="C10" s="15"/>
      <c r="D10" s="15"/>
      <c r="E10" s="15"/>
      <c r="F10" s="15"/>
      <c r="G10" s="15"/>
      <c r="H10" s="15"/>
      <c r="I10" s="15"/>
      <c r="J10" s="15"/>
      <c r="K10" s="15"/>
      <c r="L10" s="35"/>
    </row>
    <row r="11" spans="2:12" x14ac:dyDescent="0.3">
      <c r="B11" s="36"/>
      <c r="C11" s="15"/>
      <c r="D11" s="15"/>
      <c r="E11" s="15"/>
      <c r="F11" s="15"/>
      <c r="G11" s="37" t="s">
        <v>74</v>
      </c>
      <c r="H11" s="143">
        <v>3</v>
      </c>
      <c r="I11" s="15" t="s">
        <v>71</v>
      </c>
      <c r="J11" s="93"/>
      <c r="K11" s="15"/>
      <c r="L11" s="35"/>
    </row>
    <row r="12" spans="2:12" ht="6" customHeight="1" x14ac:dyDescent="0.3">
      <c r="B12" s="66"/>
      <c r="C12" s="67"/>
      <c r="D12" s="67"/>
      <c r="E12" s="67"/>
      <c r="F12" s="67"/>
      <c r="G12" s="67"/>
      <c r="H12" s="67"/>
      <c r="I12" s="67"/>
      <c r="J12" s="67"/>
      <c r="K12" s="67"/>
      <c r="L12" s="45"/>
    </row>
    <row r="13" spans="2:12" ht="28.5" customHeight="1" x14ac:dyDescent="0.5">
      <c r="B13" s="159" t="s">
        <v>72</v>
      </c>
      <c r="C13" s="159"/>
      <c r="D13" s="159"/>
      <c r="E13" s="159"/>
      <c r="F13" s="159"/>
      <c r="G13" s="159"/>
      <c r="H13" s="159"/>
      <c r="I13" s="159"/>
      <c r="J13" s="159"/>
      <c r="K13" s="159"/>
      <c r="L13" s="159"/>
    </row>
    <row r="14" spans="2:12" ht="6" customHeight="1" x14ac:dyDescent="0.3">
      <c r="B14" s="69"/>
      <c r="C14" s="73"/>
      <c r="D14" s="73"/>
      <c r="E14" s="73"/>
      <c r="F14" s="73"/>
      <c r="G14" s="73"/>
      <c r="H14" s="73"/>
      <c r="I14" s="73"/>
      <c r="J14" s="73"/>
      <c r="K14" s="73"/>
      <c r="L14" s="74"/>
    </row>
    <row r="15" spans="2:12" x14ac:dyDescent="0.3">
      <c r="B15" s="36"/>
      <c r="C15" s="15"/>
      <c r="D15" s="94"/>
      <c r="E15" s="15"/>
      <c r="G15" s="37" t="str">
        <f>"In your " &amp;Keg_size&amp; " gallon keg you have"</f>
        <v>In your 15.5 gallon keg you have</v>
      </c>
      <c r="H15" s="82">
        <f>Calculations!C38</f>
        <v>124</v>
      </c>
      <c r="I15" s="15" t="str">
        <f>I9&amp;" oz glasses"</f>
        <v>16 oz glasses</v>
      </c>
      <c r="J15" s="15"/>
      <c r="K15" s="15"/>
      <c r="L15" s="35"/>
    </row>
    <row r="16" spans="2:12" ht="6" customHeight="1" x14ac:dyDescent="0.3">
      <c r="B16" s="36"/>
      <c r="C16" s="15"/>
      <c r="D16" s="15"/>
      <c r="E16" s="15"/>
      <c r="G16" s="15"/>
      <c r="H16" s="15"/>
      <c r="I16" s="15"/>
      <c r="J16" s="15"/>
      <c r="K16" s="15"/>
      <c r="L16" s="35"/>
    </row>
    <row r="17" spans="2:12" x14ac:dyDescent="0.3">
      <c r="B17" s="36"/>
      <c r="C17" s="15"/>
      <c r="D17" s="15"/>
      <c r="E17" s="15"/>
      <c r="G17" s="37" t="str">
        <f>"If you pour " &amp;Oz_loss&amp; " ounce(s) down the drain you only get"</f>
        <v>If you pour 3 ounce(s) down the drain you only get</v>
      </c>
      <c r="H17" s="82">
        <f>Calculations!C39</f>
        <v>104.42105263157895</v>
      </c>
      <c r="I17" s="85" t="str">
        <f>Glass_oz&amp;" oz glasses"</f>
        <v>16 oz glasses</v>
      </c>
      <c r="J17" s="15"/>
      <c r="K17" s="15"/>
      <c r="L17" s="35"/>
    </row>
    <row r="18" spans="2:12" ht="6" customHeight="1" x14ac:dyDescent="0.3">
      <c r="B18" s="36"/>
      <c r="C18" s="15"/>
      <c r="D18" s="15"/>
      <c r="E18" s="15"/>
      <c r="F18" s="15"/>
      <c r="G18" s="15"/>
      <c r="H18" s="15"/>
      <c r="I18" s="94"/>
      <c r="J18" s="15"/>
      <c r="K18" s="15"/>
      <c r="L18" s="35"/>
    </row>
    <row r="19" spans="2:12" x14ac:dyDescent="0.3">
      <c r="B19" s="36"/>
      <c r="D19" s="37" t="s">
        <v>90</v>
      </c>
      <c r="E19" s="95">
        <f>Calculations!C42</f>
        <v>15.000000000000002</v>
      </c>
      <c r="F19" s="15" t="s">
        <v>6</v>
      </c>
      <c r="G19" s="15"/>
      <c r="H19" s="37" t="s">
        <v>91</v>
      </c>
      <c r="I19" s="95">
        <f>Calculations!C45</f>
        <v>73.10526315789474</v>
      </c>
      <c r="J19" s="15" t="s">
        <v>6</v>
      </c>
      <c r="K19" s="15"/>
      <c r="L19" s="35"/>
    </row>
    <row r="20" spans="2:12" ht="6" customHeight="1" x14ac:dyDescent="0.3">
      <c r="B20" s="36"/>
      <c r="C20" s="15"/>
      <c r="D20" s="15"/>
      <c r="E20" s="86"/>
      <c r="F20" s="15"/>
      <c r="G20" s="15"/>
      <c r="H20" s="15"/>
      <c r="I20" s="94"/>
      <c r="J20" s="15"/>
      <c r="K20" s="15"/>
      <c r="L20" s="35"/>
    </row>
    <row r="21" spans="2:12" x14ac:dyDescent="0.3">
      <c r="B21" s="36"/>
      <c r="C21" s="15"/>
      <c r="E21" s="96">
        <f>Calculations!C43</f>
        <v>300.00000000000006</v>
      </c>
      <c r="F21" s="1" t="s">
        <v>8</v>
      </c>
      <c r="G21" s="15"/>
      <c r="H21" s="37"/>
      <c r="I21" s="95">
        <f>Calculations!C46</f>
        <v>1462.1052631578948</v>
      </c>
      <c r="J21" s="15" t="s">
        <v>8</v>
      </c>
      <c r="K21" s="15"/>
      <c r="L21" s="35"/>
    </row>
    <row r="22" spans="2:12" ht="6" customHeight="1" x14ac:dyDescent="0.3">
      <c r="B22" s="36"/>
      <c r="C22" s="15"/>
      <c r="E22" s="68"/>
      <c r="G22" s="15"/>
      <c r="H22" s="15"/>
      <c r="I22" s="94"/>
      <c r="J22" s="15"/>
      <c r="K22" s="15"/>
      <c r="L22" s="35"/>
    </row>
    <row r="23" spans="2:12" ht="15" customHeight="1" x14ac:dyDescent="0.3">
      <c r="B23" s="36"/>
      <c r="C23" s="15"/>
      <c r="E23" s="96">
        <f>Calculations!C44</f>
        <v>3600.0000000000009</v>
      </c>
      <c r="F23" s="1" t="s">
        <v>13</v>
      </c>
      <c r="G23" s="15"/>
      <c r="H23" s="15"/>
      <c r="I23" s="95">
        <f>Calculations!C47</f>
        <v>17545.263157894737</v>
      </c>
      <c r="J23" s="15" t="s">
        <v>13</v>
      </c>
      <c r="K23" s="15"/>
      <c r="L23" s="35"/>
    </row>
    <row r="24" spans="2:12" ht="6" customHeight="1" x14ac:dyDescent="0.3">
      <c r="B24" s="36"/>
      <c r="C24" s="15"/>
      <c r="E24" s="68"/>
      <c r="G24" s="15"/>
      <c r="H24" s="15"/>
      <c r="I24" s="97"/>
      <c r="J24" s="15"/>
      <c r="K24" s="15"/>
      <c r="L24" s="35"/>
    </row>
    <row r="25" spans="2:12" ht="33.75" hidden="1" customHeight="1" x14ac:dyDescent="0.3">
      <c r="B25" s="165" t="str">
        <f>"Based on your results from the Gas Waste spreadsheet, with the amount of gas saved if you were to fix "&amp; Leaks_fixed*100&amp; "% of your leaks, you would be able to fill "&amp;MROUND('Gas Waste'!E19,0.01)&amp;" more kegs per month"</f>
        <v>Based on your results from the Gas Waste spreadsheet, with the amount of gas saved if you were to fix 10% of your leaks, you would be able to fill 1.56 more kegs per month</v>
      </c>
      <c r="C25" s="166"/>
      <c r="D25" s="166"/>
      <c r="E25" s="166"/>
      <c r="F25" s="166"/>
      <c r="G25" s="166"/>
      <c r="H25" s="166"/>
      <c r="I25" s="166"/>
      <c r="J25" s="166"/>
      <c r="K25" s="166"/>
      <c r="L25" s="167"/>
    </row>
    <row r="26" spans="2:12" ht="6" hidden="1" customHeight="1" x14ac:dyDescent="0.3">
      <c r="B26" s="36"/>
      <c r="C26" s="15"/>
      <c r="D26" s="15"/>
      <c r="E26" s="15"/>
      <c r="F26" s="15"/>
      <c r="G26" s="15"/>
      <c r="H26" s="15"/>
      <c r="I26" s="15"/>
      <c r="J26" s="15"/>
      <c r="K26" s="15"/>
      <c r="L26" s="35"/>
    </row>
    <row r="27" spans="2:12" hidden="1" x14ac:dyDescent="0.3">
      <c r="B27" s="36"/>
      <c r="C27" s="15"/>
      <c r="D27" s="15"/>
      <c r="E27" s="15"/>
      <c r="F27" s="15"/>
      <c r="G27" s="37" t="s">
        <v>76</v>
      </c>
      <c r="H27" s="95" t="e">
        <f>Calculations!#REF!</f>
        <v>#REF!</v>
      </c>
      <c r="I27" s="15" t="s">
        <v>8</v>
      </c>
      <c r="J27" s="15"/>
      <c r="K27" s="15"/>
      <c r="L27" s="35"/>
    </row>
    <row r="28" spans="2:12" ht="6" hidden="1" customHeight="1" x14ac:dyDescent="0.3">
      <c r="B28" s="36"/>
      <c r="C28" s="15"/>
      <c r="D28" s="15"/>
      <c r="E28" s="15"/>
      <c r="F28" s="15"/>
      <c r="G28" s="15"/>
      <c r="H28" s="86"/>
      <c r="I28" s="15"/>
      <c r="J28" s="15"/>
      <c r="K28" s="15"/>
      <c r="L28" s="35"/>
    </row>
    <row r="29" spans="2:12" hidden="1" x14ac:dyDescent="0.3">
      <c r="B29" s="36"/>
      <c r="C29" s="15"/>
      <c r="D29" s="15"/>
      <c r="E29" s="15"/>
      <c r="F29" s="15"/>
      <c r="G29" s="15"/>
      <c r="H29" s="95" t="e">
        <f>Calculations!#REF!</f>
        <v>#REF!</v>
      </c>
      <c r="I29" s="15" t="s">
        <v>13</v>
      </c>
      <c r="J29" s="15"/>
      <c r="K29" s="15"/>
      <c r="L29" s="35"/>
    </row>
    <row r="30" spans="2:12" ht="6" customHeight="1" x14ac:dyDescent="0.3">
      <c r="B30" s="66"/>
      <c r="C30" s="67"/>
      <c r="D30" s="67"/>
      <c r="E30" s="67"/>
      <c r="F30" s="67"/>
      <c r="G30" s="67"/>
      <c r="H30" s="67"/>
      <c r="I30" s="67"/>
      <c r="J30" s="67"/>
      <c r="K30" s="67"/>
      <c r="L30" s="45"/>
    </row>
  </sheetData>
  <sheetProtection algorithmName="SHA-512" hashValue="80slmNalmSyLW9NlLKbbQufEBMG6YsRwPaeLKx2sajyXgibbeHrh7ZC9r6EmamadqvWQUnYdr98Lc8PLwVUW/g==" saltValue="X/jgELzxZZiLVNXXUZo1ww==" spinCount="100000" sheet="1" selectLockedCells="1"/>
  <mergeCells count="4">
    <mergeCell ref="B13:L13"/>
    <mergeCell ref="B25:L25"/>
    <mergeCell ref="B2:L2"/>
    <mergeCell ref="B3:L3"/>
  </mergeCells>
  <pageMargins left="0.7" right="0.7" top="0.75" bottom="0.75" header="0.3" footer="0.3"/>
  <pageSetup scale="71"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6E1DE-B723-4D08-A57A-A4BC91E44C53}">
  <sheetPr codeName="Sheet6"/>
  <dimension ref="A1:M59"/>
  <sheetViews>
    <sheetView workbookViewId="0">
      <selection activeCell="C28" sqref="C28"/>
    </sheetView>
  </sheetViews>
  <sheetFormatPr defaultRowHeight="16.5" x14ac:dyDescent="0.3"/>
  <cols>
    <col min="1" max="1" width="9.140625" style="68"/>
    <col min="2" max="2" width="12.85546875" style="111" customWidth="1"/>
    <col min="3" max="3" width="14.85546875" style="68" customWidth="1"/>
    <col min="4" max="4" width="16.7109375" style="68" bestFit="1" customWidth="1"/>
    <col min="5" max="6" width="9" style="68" customWidth="1"/>
    <col min="7" max="7" width="9.28515625" style="2" customWidth="1"/>
    <col min="8" max="8" width="16.42578125" style="68" customWidth="1"/>
    <col min="9" max="9" width="11.7109375" style="68" customWidth="1"/>
    <col min="10" max="11" width="9.28515625" style="68" customWidth="1"/>
    <col min="12" max="16384" width="9.140625" style="68"/>
  </cols>
  <sheetData>
    <row r="1" spans="1:11" x14ac:dyDescent="0.3">
      <c r="A1" s="98"/>
      <c r="B1" s="99" t="s">
        <v>7</v>
      </c>
      <c r="C1" s="99" t="s">
        <v>78</v>
      </c>
      <c r="D1" s="99"/>
      <c r="E1" s="99"/>
      <c r="F1" s="99"/>
      <c r="G1" s="47"/>
      <c r="H1" s="99"/>
      <c r="I1" s="100"/>
    </row>
    <row r="2" spans="1:11" x14ac:dyDescent="0.3">
      <c r="A2" s="63" t="s">
        <v>36</v>
      </c>
      <c r="B2" s="86">
        <v>0.13368099999999999</v>
      </c>
      <c r="C2" s="86">
        <v>128</v>
      </c>
      <c r="D2" s="86"/>
      <c r="E2" s="86"/>
      <c r="F2" s="86"/>
      <c r="G2" s="14"/>
      <c r="H2" s="86"/>
      <c r="I2" s="101"/>
    </row>
    <row r="3" spans="1:11" x14ac:dyDescent="0.3">
      <c r="A3" s="102"/>
      <c r="B3" s="37"/>
      <c r="C3" s="86"/>
      <c r="D3" s="86"/>
      <c r="E3" s="86"/>
      <c r="F3" s="86"/>
      <c r="G3" s="103"/>
      <c r="H3" s="86"/>
      <c r="I3" s="101"/>
    </row>
    <row r="4" spans="1:11" x14ac:dyDescent="0.3">
      <c r="A4" s="102"/>
      <c r="B4" s="86"/>
      <c r="C4" s="86" t="s">
        <v>16</v>
      </c>
      <c r="D4" s="86">
        <v>14.696</v>
      </c>
      <c r="E4" s="86"/>
      <c r="F4" s="86"/>
      <c r="G4" s="14"/>
      <c r="H4" s="86"/>
      <c r="I4" s="101"/>
    </row>
    <row r="5" spans="1:11" x14ac:dyDescent="0.3">
      <c r="A5" s="102"/>
      <c r="B5" s="61"/>
      <c r="C5" s="61"/>
      <c r="D5" s="61"/>
      <c r="E5" s="61"/>
      <c r="F5" s="61"/>
      <c r="G5" s="61"/>
      <c r="H5" s="61"/>
      <c r="I5" s="104"/>
      <c r="J5" s="61"/>
    </row>
    <row r="6" spans="1:11" x14ac:dyDescent="0.3">
      <c r="A6" s="172" t="s">
        <v>31</v>
      </c>
      <c r="B6" s="173"/>
      <c r="C6" s="173"/>
      <c r="D6" s="61"/>
      <c r="E6" s="61"/>
      <c r="F6" s="61"/>
      <c r="G6" s="173" t="s">
        <v>22</v>
      </c>
      <c r="H6" s="173"/>
      <c r="I6" s="174"/>
      <c r="J6" s="61"/>
    </row>
    <row r="7" spans="1:11" x14ac:dyDescent="0.3">
      <c r="A7" s="102"/>
      <c r="B7" s="37"/>
      <c r="C7" s="86" t="s">
        <v>34</v>
      </c>
      <c r="D7" s="86"/>
      <c r="E7" s="86"/>
      <c r="F7" s="86"/>
      <c r="G7" s="14"/>
      <c r="H7" s="86"/>
      <c r="I7" s="105" t="s">
        <v>23</v>
      </c>
      <c r="J7" s="2"/>
    </row>
    <row r="8" spans="1:11" x14ac:dyDescent="0.3">
      <c r="A8" s="56" t="s">
        <v>19</v>
      </c>
      <c r="B8" s="86" t="s">
        <v>17</v>
      </c>
      <c r="C8" s="86">
        <v>0.1144</v>
      </c>
      <c r="D8" s="86"/>
      <c r="E8" s="86"/>
      <c r="F8" s="86"/>
      <c r="G8" s="14" t="s">
        <v>19</v>
      </c>
      <c r="H8" s="86" t="s">
        <v>17</v>
      </c>
      <c r="I8" s="101">
        <v>7.2459999999999997E-2</v>
      </c>
    </row>
    <row r="9" spans="1:11" x14ac:dyDescent="0.3">
      <c r="A9" s="56" t="s">
        <v>20</v>
      </c>
      <c r="B9" s="14" t="s">
        <v>7</v>
      </c>
      <c r="C9" s="14">
        <v>1</v>
      </c>
      <c r="D9" s="86"/>
      <c r="E9" s="86"/>
      <c r="F9" s="86"/>
      <c r="G9" s="14" t="s">
        <v>20</v>
      </c>
      <c r="H9" s="14" t="s">
        <v>7</v>
      </c>
      <c r="I9" s="105">
        <v>1</v>
      </c>
    </row>
    <row r="10" spans="1:11" x14ac:dyDescent="0.3">
      <c r="A10" s="106" t="s">
        <v>21</v>
      </c>
      <c r="B10" s="42" t="s">
        <v>18</v>
      </c>
      <c r="C10" s="107">
        <v>1.349E-2</v>
      </c>
      <c r="D10" s="107"/>
      <c r="E10" s="107"/>
      <c r="F10" s="107"/>
      <c r="G10" s="42" t="s">
        <v>21</v>
      </c>
      <c r="H10" s="42" t="s">
        <v>18</v>
      </c>
      <c r="I10" s="108">
        <v>1.072E-2</v>
      </c>
    </row>
    <row r="11" spans="1:11" x14ac:dyDescent="0.3">
      <c r="B11" s="31"/>
      <c r="H11" s="2"/>
    </row>
    <row r="13" spans="1:11" x14ac:dyDescent="0.3">
      <c r="B13" s="170" t="s">
        <v>44</v>
      </c>
      <c r="C13" s="170"/>
      <c r="D13" s="170"/>
      <c r="E13" s="109"/>
      <c r="F13" s="109"/>
      <c r="G13" s="110"/>
      <c r="H13" s="171" t="s">
        <v>39</v>
      </c>
      <c r="I13" s="171"/>
      <c r="J13" s="110"/>
      <c r="K13" s="110"/>
    </row>
    <row r="14" spans="1:11" x14ac:dyDescent="0.3">
      <c r="C14" s="112" t="s">
        <v>33</v>
      </c>
      <c r="D14" s="68" t="s">
        <v>102</v>
      </c>
      <c r="H14" s="111" t="s">
        <v>79</v>
      </c>
      <c r="I14" s="68">
        <f>Keg_size*B2</f>
        <v>2.0720554999999998</v>
      </c>
    </row>
    <row r="15" spans="1:11" x14ac:dyDescent="0.3">
      <c r="B15" s="113" t="s">
        <v>32</v>
      </c>
      <c r="C15" s="114">
        <f>PM_C/PM_A</f>
        <v>0.2533783783783784</v>
      </c>
      <c r="D15" s="114">
        <f>(Blend*CO2_C/(CO2_A/VLOOKUP(CO2_Units,B8:C10,2,FALSE)))+((1-Blend)*N2_C/(N2_A/VLOOKUP(N2_Units,H8:I10,2,FALSE)))</f>
        <v>7.802400000000001E-2</v>
      </c>
      <c r="E15" s="114"/>
      <c r="F15" s="114"/>
      <c r="H15" s="111" t="s">
        <v>94</v>
      </c>
      <c r="I15" s="68">
        <f>(Despense_Pressure+ATM_Pressure)/ATM_Pressure</f>
        <v>2.7691888949373977</v>
      </c>
      <c r="J15" s="115"/>
    </row>
    <row r="16" spans="1:11" x14ac:dyDescent="0.3">
      <c r="B16" s="111" t="s">
        <v>6</v>
      </c>
      <c r="C16" s="114">
        <f>C15*ft3_per_keg*Boyle_Pressure_Co*Gas_Loss_Co</f>
        <v>1.7446357338731628</v>
      </c>
      <c r="D16" s="114">
        <f>D15*ft3_per_keg*Boyle_Pressure_Co*Gas_Loss_Co</f>
        <v>0.53723391621222683</v>
      </c>
      <c r="E16" s="114"/>
      <c r="F16" s="114"/>
      <c r="H16" s="68" t="s">
        <v>35</v>
      </c>
      <c r="I16" s="68">
        <f>1+Gas_Loss_Factor</f>
        <v>1.2</v>
      </c>
    </row>
    <row r="17" spans="1:13" x14ac:dyDescent="0.3">
      <c r="B17" s="111" t="s">
        <v>80</v>
      </c>
      <c r="C17" s="116">
        <f>C16/((C2/12)*Keg_size)</f>
        <v>1.0552232261329616E-2</v>
      </c>
      <c r="D17" s="116">
        <f>D16/((C2/12)*Keg_size)</f>
        <v>3.2493986867675015E-3</v>
      </c>
      <c r="E17" s="116"/>
      <c r="F17" s="116"/>
    </row>
    <row r="18" spans="1:13" x14ac:dyDescent="0.3">
      <c r="B18" s="111" t="s">
        <v>81</v>
      </c>
      <c r="C18" s="116">
        <f>C16/(Keg_size*(C2/16))</f>
        <v>1.4069643015106152E-2</v>
      </c>
      <c r="D18" s="116">
        <f>D16/(Keg_size*(C2/16))</f>
        <v>4.3325315823566678E-3</v>
      </c>
      <c r="E18" s="116"/>
      <c r="F18" s="116"/>
    </row>
    <row r="19" spans="1:13" x14ac:dyDescent="0.3">
      <c r="B19" s="111" t="s">
        <v>8</v>
      </c>
      <c r="C19" s="114">
        <f>C16*Kegs_month</f>
        <v>34.89271467746326</v>
      </c>
      <c r="D19" s="114">
        <f>D16*Kegs_month</f>
        <v>10.744678324244536</v>
      </c>
      <c r="E19" s="114"/>
      <c r="F19" s="114"/>
      <c r="M19" s="115"/>
    </row>
    <row r="20" spans="1:13" x14ac:dyDescent="0.3">
      <c r="C20" s="114"/>
      <c r="D20" s="114"/>
      <c r="E20" s="114"/>
      <c r="F20" s="114"/>
      <c r="I20" s="68">
        <f>60*0.4</f>
        <v>24</v>
      </c>
      <c r="M20" s="115"/>
    </row>
    <row r="23" spans="1:13" x14ac:dyDescent="0.3">
      <c r="I23" s="129"/>
    </row>
    <row r="24" spans="1:13" x14ac:dyDescent="0.3">
      <c r="B24" s="170" t="s">
        <v>48</v>
      </c>
      <c r="C24" s="170"/>
      <c r="D24" s="170"/>
      <c r="H24" s="110"/>
      <c r="I24" s="130"/>
      <c r="J24" s="110"/>
    </row>
    <row r="25" spans="1:13" x14ac:dyDescent="0.3">
      <c r="A25" s="68" t="s">
        <v>87</v>
      </c>
      <c r="B25" s="111" t="s">
        <v>31</v>
      </c>
      <c r="C25" s="68">
        <f>Blend*Keg_size*B2*Kegs_month*Boyle_Pressure_Co</f>
        <v>80.330783124115385</v>
      </c>
      <c r="D25" s="115" t="s">
        <v>42</v>
      </c>
    </row>
    <row r="26" spans="1:13" x14ac:dyDescent="0.3">
      <c r="B26" s="111" t="s">
        <v>22</v>
      </c>
      <c r="C26" s="68">
        <f>(1-Blend)*Keg_size*B2*Kegs_month*Boyle_Pressure_Co</f>
        <v>34.427478481763742</v>
      </c>
      <c r="D26" s="115" t="s">
        <v>42</v>
      </c>
    </row>
    <row r="27" spans="1:13" x14ac:dyDescent="0.3">
      <c r="B27" s="111" t="s">
        <v>40</v>
      </c>
      <c r="C27" s="68">
        <f>(C25+C26)*1</f>
        <v>114.75826160587913</v>
      </c>
      <c r="D27" s="117" t="s">
        <v>42</v>
      </c>
      <c r="I27" s="118"/>
    </row>
    <row r="28" spans="1:13" x14ac:dyDescent="0.3">
      <c r="B28" s="111" t="s">
        <v>41</v>
      </c>
      <c r="C28" s="68">
        <f>Amount_of_Gas_used</f>
        <v>150</v>
      </c>
      <c r="D28" s="115" t="s">
        <v>42</v>
      </c>
      <c r="I28" s="119"/>
    </row>
    <row r="29" spans="1:13" x14ac:dyDescent="0.3">
      <c r="B29" s="111" t="s">
        <v>43</v>
      </c>
      <c r="C29" s="120">
        <f>MROUND((C28-C27)/C27,0.01)</f>
        <v>0.31</v>
      </c>
      <c r="I29" s="121"/>
    </row>
    <row r="30" spans="1:13" x14ac:dyDescent="0.3">
      <c r="B30" s="111" t="s">
        <v>60</v>
      </c>
      <c r="C30" s="120">
        <f>Cal_Gas_Loss_Factor-Cal_Gas_Loss_Factor*Leaks_fixed</f>
        <v>0.27900000000000003</v>
      </c>
    </row>
    <row r="31" spans="1:13" x14ac:dyDescent="0.3">
      <c r="B31" s="111" t="s">
        <v>54</v>
      </c>
      <c r="C31" s="122">
        <f>_xlfn.IFS(C28-(New_Gas_Loss_Factor+1)*C27&lt;0, 0, Leaks_fixed=0, 0, C28-(New_Gas_Loss_Factor+1)*C27&gt;=0, C28-(New_Gas_Loss_Factor+1)*C27)</f>
        <v>3.2241834060806127</v>
      </c>
      <c r="D31" s="115" t="s">
        <v>42</v>
      </c>
    </row>
    <row r="32" spans="1:13" x14ac:dyDescent="0.3">
      <c r="B32" s="111" t="s">
        <v>55</v>
      </c>
      <c r="C32" s="123">
        <f>C31*D15</f>
        <v>0.25156368607603374</v>
      </c>
      <c r="D32" s="115" t="s">
        <v>53</v>
      </c>
    </row>
    <row r="33" spans="2:6" x14ac:dyDescent="0.3">
      <c r="B33" s="111" t="s">
        <v>62</v>
      </c>
      <c r="C33" s="68">
        <f>C31/ft3_per_keg</f>
        <v>1.5560313930204153</v>
      </c>
      <c r="D33" s="115" t="s">
        <v>63</v>
      </c>
    </row>
    <row r="37" spans="2:6" x14ac:dyDescent="0.3">
      <c r="B37" s="170" t="s">
        <v>73</v>
      </c>
      <c r="C37" s="170"/>
      <c r="D37" s="170"/>
    </row>
    <row r="38" spans="2:6" x14ac:dyDescent="0.3">
      <c r="B38" s="111" t="s">
        <v>85</v>
      </c>
      <c r="C38" s="68">
        <f>Keg_size*Calculations!C2/Glass_oz</f>
        <v>124</v>
      </c>
      <c r="D38" s="115" t="s">
        <v>82</v>
      </c>
    </row>
    <row r="39" spans="2:6" x14ac:dyDescent="0.3">
      <c r="B39" s="111" t="s">
        <v>88</v>
      </c>
      <c r="C39" s="68">
        <f>((C2*Keg_size)/(Glass_oz+Oz_loss))</f>
        <v>104.42105263157895</v>
      </c>
      <c r="D39" s="115" t="s">
        <v>82</v>
      </c>
    </row>
    <row r="40" spans="2:6" x14ac:dyDescent="0.3">
      <c r="B40" s="111" t="s">
        <v>89</v>
      </c>
      <c r="C40" s="68">
        <f>C38-C39</f>
        <v>19.578947368421055</v>
      </c>
      <c r="D40" s="115" t="s">
        <v>82</v>
      </c>
    </row>
    <row r="41" spans="2:6" x14ac:dyDescent="0.3">
      <c r="B41" s="111" t="s">
        <v>75</v>
      </c>
      <c r="C41" s="124">
        <f>Beer_costs_per_keg/(Keg_size*Calculations!C2)</f>
        <v>4.7883064516129031E-2</v>
      </c>
      <c r="D41" s="115" t="s">
        <v>83</v>
      </c>
    </row>
    <row r="42" spans="2:6" x14ac:dyDescent="0.3">
      <c r="B42" s="111" t="s">
        <v>84</v>
      </c>
      <c r="C42" s="125">
        <f>Calculations!C40*Keg_cost_per_oz*Glass_oz</f>
        <v>15.000000000000002</v>
      </c>
      <c r="D42" s="115" t="s">
        <v>6</v>
      </c>
    </row>
    <row r="43" spans="2:6" x14ac:dyDescent="0.3">
      <c r="C43" s="125">
        <f>C42*Kegs_month</f>
        <v>300.00000000000006</v>
      </c>
      <c r="D43" s="115" t="s">
        <v>8</v>
      </c>
    </row>
    <row r="44" spans="2:6" x14ac:dyDescent="0.3">
      <c r="C44" s="125">
        <f>C43*12</f>
        <v>3600.0000000000009</v>
      </c>
      <c r="D44" s="115" t="s">
        <v>13</v>
      </c>
    </row>
    <row r="45" spans="2:6" x14ac:dyDescent="0.3">
      <c r="B45" s="111" t="s">
        <v>92</v>
      </c>
      <c r="C45" s="123">
        <f>C40*Price_per_Glass-C42</f>
        <v>73.10526315789474</v>
      </c>
      <c r="D45" s="115" t="s">
        <v>6</v>
      </c>
    </row>
    <row r="46" spans="2:6" x14ac:dyDescent="0.3">
      <c r="C46" s="123">
        <f>C45*Kegs_month</f>
        <v>1462.1052631578948</v>
      </c>
      <c r="D46" s="115" t="s">
        <v>8</v>
      </c>
    </row>
    <row r="47" spans="2:6" x14ac:dyDescent="0.3">
      <c r="C47" s="123">
        <f>C46*12</f>
        <v>17545.263157894737</v>
      </c>
      <c r="D47" s="115" t="s">
        <v>13</v>
      </c>
    </row>
    <row r="48" spans="2:6" x14ac:dyDescent="0.3">
      <c r="B48" s="111" t="s">
        <v>86</v>
      </c>
      <c r="C48" s="123">
        <f>C51-C45</f>
        <v>484.89473684210526</v>
      </c>
      <c r="D48" s="115" t="s">
        <v>6</v>
      </c>
      <c r="F48" s="123"/>
    </row>
    <row r="49" spans="2:4" x14ac:dyDescent="0.3">
      <c r="C49" s="123">
        <f>C48*Kegs_month</f>
        <v>9697.894736842105</v>
      </c>
      <c r="D49" s="115" t="s">
        <v>8</v>
      </c>
    </row>
    <row r="50" spans="2:4" x14ac:dyDescent="0.3">
      <c r="C50" s="123">
        <f>C49*12</f>
        <v>116374.73684210525</v>
      </c>
      <c r="D50" s="115" t="s">
        <v>13</v>
      </c>
    </row>
    <row r="51" spans="2:4" x14ac:dyDescent="0.3">
      <c r="B51" s="111" t="s">
        <v>77</v>
      </c>
      <c r="C51" s="123">
        <f>C38*Price_per_Glass</f>
        <v>558</v>
      </c>
      <c r="D51" s="115" t="s">
        <v>6</v>
      </c>
    </row>
    <row r="52" spans="2:4" x14ac:dyDescent="0.3">
      <c r="C52" s="123">
        <f>C51*Kegs_month</f>
        <v>11160</v>
      </c>
      <c r="D52" s="115" t="s">
        <v>8</v>
      </c>
    </row>
    <row r="53" spans="2:4" x14ac:dyDescent="0.3">
      <c r="C53" s="123">
        <f>C52*12</f>
        <v>133920</v>
      </c>
      <c r="D53" s="115" t="s">
        <v>13</v>
      </c>
    </row>
    <row r="54" spans="2:4" x14ac:dyDescent="0.3">
      <c r="D54" s="115"/>
    </row>
    <row r="55" spans="2:4" x14ac:dyDescent="0.3">
      <c r="D55" s="115"/>
    </row>
    <row r="56" spans="2:4" x14ac:dyDescent="0.3">
      <c r="D56" s="115"/>
    </row>
    <row r="57" spans="2:4" x14ac:dyDescent="0.3">
      <c r="D57" s="115"/>
    </row>
    <row r="58" spans="2:4" x14ac:dyDescent="0.3">
      <c r="D58" s="115"/>
    </row>
    <row r="59" spans="2:4" x14ac:dyDescent="0.3">
      <c r="D59" s="115"/>
    </row>
  </sheetData>
  <sheetProtection algorithmName="SHA-512" hashValue="BCKlgLrV4ga0bzy+USX+KXJ/4zibseyG5s3vM4hisXT/ubK+ne/DYIirV4bk76YKQaq2hvQ6gsfGnxxIUm5jfA==" saltValue="5COtrNBKP0DKLWy5MxHn8A==" spinCount="100000" sheet="1" objects="1" scenarios="1"/>
  <mergeCells count="6">
    <mergeCell ref="B37:D37"/>
    <mergeCell ref="B13:D13"/>
    <mergeCell ref="H13:I13"/>
    <mergeCell ref="A6:C6"/>
    <mergeCell ref="G6:I6"/>
    <mergeCell ref="B24:D2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How to use this spreadsheet</vt:lpstr>
      <vt:lpstr>Gas Cost</vt:lpstr>
      <vt:lpstr>Gas Waste</vt:lpstr>
      <vt:lpstr>Beer Cost</vt:lpstr>
      <vt:lpstr>Calculations</vt:lpstr>
      <vt:lpstr>Amount_of_Gas_used</vt:lpstr>
      <vt:lpstr>ATM_Pressure</vt:lpstr>
      <vt:lpstr>Beer_costs_per_keg</vt:lpstr>
      <vt:lpstr>Blend</vt:lpstr>
      <vt:lpstr>Boyle_Pressure_Co</vt:lpstr>
      <vt:lpstr>Cal_Gas_Loss_Factor</vt:lpstr>
      <vt:lpstr>Calc._Gas_Loss_HERE</vt:lpstr>
      <vt:lpstr>Calc_Gas_Loss</vt:lpstr>
      <vt:lpstr>CO2_A</vt:lpstr>
      <vt:lpstr>CO2_C</vt:lpstr>
      <vt:lpstr>CO2_Units</vt:lpstr>
      <vt:lpstr>Despense_Pressure</vt:lpstr>
      <vt:lpstr>ft3_per_keg</vt:lpstr>
      <vt:lpstr>Gas_Loss_Co</vt:lpstr>
      <vt:lpstr>Gas_Loss_Factor</vt:lpstr>
      <vt:lpstr>Glass_oz</vt:lpstr>
      <vt:lpstr>Keg_cost_per_oz</vt:lpstr>
      <vt:lpstr>Keg_size</vt:lpstr>
      <vt:lpstr>Kegs_month</vt:lpstr>
      <vt:lpstr>Leaks_fixed</vt:lpstr>
      <vt:lpstr>N2_A</vt:lpstr>
      <vt:lpstr>N2_C</vt:lpstr>
      <vt:lpstr>N2_Units</vt:lpstr>
      <vt:lpstr>New_Gas_Loss_Factor</vt:lpstr>
      <vt:lpstr>Oz_loss</vt:lpstr>
      <vt:lpstr>PM_A</vt:lpstr>
      <vt:lpstr>PM_C</vt:lpstr>
      <vt:lpstr>PM_per</vt:lpstr>
      <vt:lpstr>Price_per_Glass</vt:lpstr>
      <vt:lpstr>Trumix_per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Shirley</dc:creator>
  <cp:lastModifiedBy>Emily Shirley</cp:lastModifiedBy>
  <cp:lastPrinted>2018-02-02T18:49:54Z</cp:lastPrinted>
  <dcterms:created xsi:type="dcterms:W3CDTF">2017-12-20T17:40:25Z</dcterms:created>
  <dcterms:modified xsi:type="dcterms:W3CDTF">2018-03-19T18:33:48Z</dcterms:modified>
</cp:coreProperties>
</file>